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R:\VPOS\MEDŽIAGA\POSĖDIS\"/>
    </mc:Choice>
  </mc:AlternateContent>
  <xr:revisionPtr revIDLastSave="0" documentId="8_{8740B929-56AA-492D-AF4D-79A702F650FA}" xr6:coauthVersionLast="45" xr6:coauthVersionMax="45" xr10:uidLastSave="{00000000-0000-0000-0000-000000000000}"/>
  <bookViews>
    <workbookView xWindow="-108" yWindow="-108" windowWidth="30936" windowHeight="16896" tabRatio="792" firstSheet="2" activeTab="6" xr2:uid="{00000000-000D-0000-FFFF-FFFF00000000}"/>
  </bookViews>
  <sheets>
    <sheet name="1 lentelė_1-2 lapai" sheetId="85" r:id="rId1"/>
    <sheet name=" 2 lentelė_1-4 lapai -" sheetId="2" r:id="rId2"/>
    <sheet name="3 lentelė_1,2 lapai" sheetId="81" r:id="rId3"/>
    <sheet name="4 lentelė 1 lapas+ " sheetId="56" r:id="rId4"/>
    <sheet name="4 lentelė 2 lapas+" sheetId="65" r:id="rId5"/>
    <sheet name="4 lentelė 3,4,5  lapas+" sheetId="66" r:id="rId6"/>
    <sheet name="5_lentele" sheetId="82" r:id="rId7"/>
    <sheet name="6 lentelė+" sheetId="69" r:id="rId8"/>
    <sheet name="7 lentelė +" sheetId="70" r:id="rId9"/>
  </sheets>
  <definedNames>
    <definedName name="_xlnm.Print_Area" localSheetId="2">'3 lentelė_1,2 lapai'!$A$2:$E$119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81" l="1"/>
  <c r="E10" i="82" l="1"/>
  <c r="F10" i="82" s="1"/>
  <c r="G10" i="82" s="1"/>
  <c r="H10" i="82" s="1"/>
  <c r="H276" i="2" l="1"/>
  <c r="E288" i="2"/>
  <c r="E278" i="2"/>
  <c r="E276" i="2"/>
  <c r="D273" i="2"/>
  <c r="D11" i="82" l="1"/>
  <c r="E11" i="82" s="1"/>
  <c r="F11" i="82" s="1"/>
  <c r="G11" i="82" s="1"/>
  <c r="H11" i="82" s="1"/>
  <c r="C10" i="82"/>
  <c r="C8" i="82"/>
  <c r="B114" i="81"/>
  <c r="B111" i="81" s="1"/>
  <c r="E109" i="81"/>
  <c r="E96" i="81"/>
  <c r="D96" i="81"/>
  <c r="C96" i="81"/>
  <c r="B96" i="81"/>
  <c r="D91" i="81"/>
  <c r="C91" i="81"/>
  <c r="B91" i="81"/>
  <c r="D89" i="81"/>
  <c r="C89" i="81"/>
  <c r="B89" i="81"/>
  <c r="E88" i="81"/>
  <c r="B86" i="81"/>
  <c r="E85" i="81"/>
  <c r="D85" i="81"/>
  <c r="C85" i="81"/>
  <c r="B85" i="81"/>
  <c r="E84" i="81"/>
  <c r="D84" i="81"/>
  <c r="C84" i="81"/>
  <c r="B84" i="81"/>
  <c r="E83" i="81"/>
  <c r="D83" i="81"/>
  <c r="C83" i="81"/>
  <c r="B83" i="81"/>
  <c r="E82" i="81"/>
  <c r="D82" i="81"/>
  <c r="B82" i="81"/>
  <c r="E81" i="81"/>
  <c r="D81" i="81"/>
  <c r="B81" i="81"/>
  <c r="E80" i="81"/>
  <c r="D80" i="81"/>
  <c r="C80" i="81"/>
  <c r="B80" i="81"/>
  <c r="C79" i="81"/>
  <c r="B72" i="81"/>
  <c r="B71" i="81" s="1"/>
  <c r="E71" i="81"/>
  <c r="D71" i="81"/>
  <c r="C71" i="81"/>
  <c r="E69" i="81"/>
  <c r="D69" i="81"/>
  <c r="C69" i="81"/>
  <c r="C68" i="81"/>
  <c r="B68" i="81"/>
  <c r="E67" i="81"/>
  <c r="D67" i="81"/>
  <c r="C67" i="81"/>
  <c r="B67" i="81"/>
  <c r="D66" i="81"/>
  <c r="C66" i="81"/>
  <c r="B66" i="81"/>
  <c r="B59" i="81"/>
  <c r="B58" i="81"/>
  <c r="B56" i="81" s="1"/>
  <c r="D57" i="81"/>
  <c r="C57" i="81"/>
  <c r="B57" i="81"/>
  <c r="E56" i="81"/>
  <c r="D56" i="81"/>
  <c r="C56" i="81"/>
  <c r="C55" i="81"/>
  <c r="B55" i="81"/>
  <c r="D54" i="81"/>
  <c r="C54" i="81"/>
  <c r="B54" i="81"/>
  <c r="D53" i="81"/>
  <c r="C53" i="81"/>
  <c r="B53" i="81"/>
  <c r="B47" i="81"/>
  <c r="B41" i="81" s="1"/>
  <c r="B40" i="81" s="1"/>
  <c r="E41" i="81"/>
  <c r="E40" i="81" s="1"/>
  <c r="D41" i="81"/>
  <c r="C41" i="81"/>
  <c r="D40" i="81"/>
  <c r="C40" i="81"/>
  <c r="E37" i="81"/>
  <c r="D37" i="81"/>
  <c r="C37" i="81"/>
  <c r="B37" i="81"/>
  <c r="E30" i="81"/>
  <c r="D30" i="81"/>
  <c r="C30" i="81"/>
  <c r="B30" i="81"/>
  <c r="E26" i="81"/>
  <c r="D26" i="81"/>
  <c r="C26" i="81"/>
  <c r="B26" i="81"/>
  <c r="E22" i="81"/>
  <c r="D22" i="81"/>
  <c r="C22" i="81"/>
  <c r="C12" i="81" s="1"/>
  <c r="C11" i="81" s="1"/>
  <c r="B22" i="81"/>
  <c r="E18" i="81"/>
  <c r="E12" i="81" s="1"/>
  <c r="D18" i="81"/>
  <c r="D12" i="81" s="1"/>
  <c r="D11" i="81" s="1"/>
  <c r="C18" i="81"/>
  <c r="B18" i="81"/>
  <c r="B12" i="81"/>
  <c r="B11" i="81" s="1"/>
  <c r="E11" i="81" l="1"/>
  <c r="B52" i="81"/>
  <c r="B10" i="81" s="1"/>
  <c r="B88" i="81"/>
  <c r="D88" i="81"/>
  <c r="D8" i="82"/>
  <c r="D52" i="81"/>
  <c r="C52" i="81"/>
  <c r="C118" i="81" s="1"/>
  <c r="E52" i="81"/>
  <c r="C70" i="81"/>
  <c r="D86" i="81" s="1"/>
  <c r="D79" i="81" s="1"/>
  <c r="D70" i="81" s="1"/>
  <c r="B79" i="81"/>
  <c r="B70" i="81" s="1"/>
  <c r="E79" i="81"/>
  <c r="E70" i="81" s="1"/>
  <c r="C88" i="81"/>
  <c r="C108" i="81"/>
  <c r="F8" i="82"/>
  <c r="E8" i="82"/>
  <c r="C10" i="81"/>
  <c r="C9" i="81" l="1"/>
  <c r="B9" i="81"/>
  <c r="E10" i="81"/>
  <c r="E9" i="81" s="1"/>
  <c r="C116" i="81"/>
  <c r="C114" i="81" s="1"/>
  <c r="D108" i="81" s="1"/>
  <c r="D10" i="81"/>
  <c r="D9" i="81" s="1"/>
  <c r="H8" i="82"/>
  <c r="G8" i="82"/>
  <c r="C111" i="81"/>
  <c r="C105" i="81" s="1"/>
  <c r="D110" i="81" l="1"/>
  <c r="D114" i="81"/>
  <c r="D116" i="81" l="1"/>
  <c r="D111" i="81"/>
  <c r="D105" i="81" s="1"/>
  <c r="E108" i="81"/>
  <c r="E110" i="81" l="1"/>
  <c r="E114" i="81"/>
  <c r="E116" i="81" l="1"/>
  <c r="E111" i="81"/>
  <c r="E105" i="81" s="1"/>
  <c r="L73" i="2" l="1"/>
  <c r="D294" i="2" l="1"/>
  <c r="C12" i="69" l="1"/>
  <c r="C13" i="69" s="1"/>
  <c r="D12" i="69"/>
  <c r="D13" i="69" s="1"/>
  <c r="E12" i="69"/>
  <c r="E13" i="69" s="1"/>
  <c r="B12" i="69"/>
  <c r="L43" i="2" l="1"/>
  <c r="L41" i="2" s="1"/>
  <c r="K43" i="2"/>
  <c r="K41" i="2" s="1"/>
  <c r="J43" i="2"/>
  <c r="M22" i="2"/>
  <c r="M21" i="2" s="1"/>
  <c r="N22" i="2"/>
  <c r="N21" i="2" s="1"/>
  <c r="O22" i="2"/>
  <c r="O21" i="2" s="1"/>
  <c r="J36" i="2"/>
  <c r="C294" i="2" l="1"/>
  <c r="C288" i="2"/>
  <c r="C280" i="2"/>
  <c r="C276" i="2"/>
  <c r="C278" i="2" s="1"/>
  <c r="C274" i="2"/>
  <c r="C273" i="2"/>
  <c r="C272" i="2"/>
  <c r="C268" i="2" l="1"/>
  <c r="K107" i="2"/>
  <c r="N107" i="2" s="1"/>
  <c r="L107" i="2"/>
  <c r="O107" i="2" s="1"/>
  <c r="J107" i="2"/>
  <c r="M107" i="2" s="1"/>
  <c r="L102" i="2"/>
  <c r="O102" i="2" s="1"/>
  <c r="K102" i="2"/>
  <c r="N102" i="2" s="1"/>
  <c r="J102" i="2"/>
  <c r="M102" i="2" s="1"/>
  <c r="L96" i="2"/>
  <c r="O96" i="2" s="1"/>
  <c r="K96" i="2"/>
  <c r="N96" i="2" s="1"/>
  <c r="J96" i="2"/>
  <c r="M96" i="2" s="1"/>
  <c r="L85" i="2"/>
  <c r="O85" i="2" s="1"/>
  <c r="K85" i="2"/>
  <c r="N85" i="2" s="1"/>
  <c r="J85" i="2"/>
  <c r="M85" i="2" s="1"/>
  <c r="L80" i="2"/>
  <c r="O80" i="2" s="1"/>
  <c r="K80" i="2"/>
  <c r="N80" i="2" s="1"/>
  <c r="J80" i="2"/>
  <c r="M80" i="2" s="1"/>
  <c r="K73" i="2"/>
  <c r="K71" i="2" s="1"/>
  <c r="N71" i="2" s="1"/>
  <c r="O73" i="2"/>
  <c r="J73" i="2"/>
  <c r="M73" i="2" s="1"/>
  <c r="J61" i="2"/>
  <c r="M61" i="2" s="1"/>
  <c r="L61" i="2"/>
  <c r="O61" i="2" s="1"/>
  <c r="K61" i="2"/>
  <c r="N61" i="2" s="1"/>
  <c r="K55" i="2"/>
  <c r="N55" i="2" s="1"/>
  <c r="L55" i="2"/>
  <c r="O55" i="2" s="1"/>
  <c r="J55" i="2"/>
  <c r="M55" i="2" s="1"/>
  <c r="N43" i="2"/>
  <c r="O41" i="2"/>
  <c r="M43" i="2"/>
  <c r="K36" i="2"/>
  <c r="N36" i="2" s="1"/>
  <c r="L36" i="2"/>
  <c r="O36" i="2" s="1"/>
  <c r="M36" i="2"/>
  <c r="K22" i="2"/>
  <c r="K21" i="2" s="1"/>
  <c r="L22" i="2"/>
  <c r="J22" i="2"/>
  <c r="J21" i="2" s="1"/>
  <c r="J60" i="2" l="1"/>
  <c r="M60" i="2" s="1"/>
  <c r="L21" i="2"/>
  <c r="J41" i="2"/>
  <c r="M41" i="2" s="1"/>
  <c r="N41" i="2"/>
  <c r="O43" i="2"/>
  <c r="L60" i="2"/>
  <c r="O60" i="2" s="1"/>
  <c r="J71" i="2"/>
  <c r="M71" i="2" s="1"/>
  <c r="K60" i="2"/>
  <c r="N60" i="2" s="1"/>
  <c r="C300" i="2"/>
  <c r="C270" i="2"/>
  <c r="L71" i="2"/>
  <c r="O71" i="2" s="1"/>
  <c r="N73" i="2"/>
  <c r="B13" i="69" l="1"/>
  <c r="E66" i="2"/>
  <c r="H294" i="2" l="1"/>
  <c r="G294" i="2"/>
  <c r="F294" i="2"/>
  <c r="E294" i="2"/>
  <c r="H288" i="2"/>
  <c r="G288" i="2"/>
  <c r="F288" i="2"/>
  <c r="D288" i="2"/>
  <c r="H280" i="2"/>
  <c r="G280" i="2"/>
  <c r="F280" i="2"/>
  <c r="E280" i="2"/>
  <c r="D280" i="2"/>
  <c r="H278" i="2"/>
  <c r="G276" i="2"/>
  <c r="G278" i="2" s="1"/>
  <c r="F276" i="2"/>
  <c r="F278" i="2" s="1"/>
  <c r="D276" i="2"/>
  <c r="H274" i="2"/>
  <c r="G274" i="2"/>
  <c r="F274" i="2"/>
  <c r="E274" i="2"/>
  <c r="D274" i="2"/>
  <c r="H273" i="2"/>
  <c r="G273" i="2"/>
  <c r="F273" i="2"/>
  <c r="E273" i="2"/>
  <c r="H272" i="2"/>
  <c r="G272" i="2"/>
  <c r="F272" i="2"/>
  <c r="E272" i="2"/>
  <c r="D272" i="2"/>
  <c r="D278" i="2" l="1"/>
  <c r="D268" i="2"/>
  <c r="D300" i="2" s="1"/>
  <c r="H268" i="2"/>
  <c r="F268" i="2"/>
  <c r="F300" i="2" s="1"/>
  <c r="E268" i="2"/>
  <c r="E300" i="2" s="1"/>
  <c r="G268" i="2"/>
  <c r="G300" i="2" s="1"/>
  <c r="D270" i="2" l="1"/>
  <c r="H300" i="2"/>
  <c r="H270" i="2"/>
  <c r="G270" i="2"/>
  <c r="F270" i="2"/>
  <c r="E270" i="2"/>
</calcChain>
</file>

<file path=xl/sharedStrings.xml><?xml version="1.0" encoding="utf-8"?>
<sst xmlns="http://schemas.openxmlformats.org/spreadsheetml/2006/main" count="945" uniqueCount="553">
  <si>
    <t>4 lapas</t>
  </si>
  <si>
    <t>Matav. vnt.</t>
  </si>
  <si>
    <t>vnt.</t>
  </si>
  <si>
    <t>laukiama</t>
  </si>
  <si>
    <r>
      <t xml:space="preserve">2.8.  </t>
    </r>
    <r>
      <rPr>
        <b/>
        <u/>
        <sz val="12"/>
        <rFont val="Times New Roman"/>
        <family val="1"/>
        <charset val="186"/>
      </rPr>
      <t>Veiklos sąnaudos</t>
    </r>
  </si>
  <si>
    <t>Eur</t>
  </si>
  <si>
    <t>Veiklos sąnaudos be:</t>
  </si>
  <si>
    <t xml:space="preserve"> - išmokų mokėjimo sąnaudų</t>
  </si>
  <si>
    <t xml:space="preserve"> - ilgalaikio turto nusidėvėjimo ir amortizacijos</t>
  </si>
  <si>
    <t xml:space="preserve"> Fondo administravimo įstaigų finansavimo sąnaudos be:</t>
  </si>
  <si>
    <t>2.8.1.1. Darbo užmokesčiui</t>
  </si>
  <si>
    <t>2.8.1.2. Socialinio draudimo įmokoms</t>
  </si>
  <si>
    <t>2.8.1.3. Prekėms ir paslaugoms įsigyti bei kitoms Fondo administravimo įstaigų veiklos sąnaudoms</t>
  </si>
  <si>
    <t>Prekėms ir paslaugoms įsigyti bei kitoms Fondo administravimo įstaigų veiklos sąnaudos be:</t>
  </si>
  <si>
    <r>
      <t xml:space="preserve">2.8.3. </t>
    </r>
    <r>
      <rPr>
        <b/>
        <u/>
        <sz val="10"/>
        <rFont val="Times New Roman"/>
        <family val="1"/>
        <charset val="186"/>
      </rPr>
      <t>Kitos Fondo veiklos sąnaudos</t>
    </r>
  </si>
  <si>
    <t xml:space="preserve">2.8.3.1. Palūkanų sąnaudos </t>
  </si>
  <si>
    <t>2.8.3.2. Sąnaudos, atsiradusios dėl neigiamos valiutos kurso pasikeitimo įtakos</t>
  </si>
  <si>
    <t xml:space="preserve">2.8.3.3. Kitos sąnaudos </t>
  </si>
  <si>
    <t>IŠ VISO IŠLAIDŲ:</t>
  </si>
  <si>
    <t xml:space="preserve">        2 lentelė</t>
  </si>
  <si>
    <t>1 lapas</t>
  </si>
  <si>
    <t>I Š L A I D Ų  skaičiavimai</t>
  </si>
  <si>
    <t>%</t>
  </si>
  <si>
    <t xml:space="preserve">          Senatvės pensijų gavėjai</t>
  </si>
  <si>
    <t>žm.</t>
  </si>
  <si>
    <t xml:space="preserve">          Vidutinis 1 mėn.  išmokų skaičius</t>
  </si>
  <si>
    <t xml:space="preserve">          Vidutinė netekto darbingumo (invalidumo) pensija </t>
  </si>
  <si>
    <t xml:space="preserve">            Invalidumo pensijų gavėjai </t>
  </si>
  <si>
    <t xml:space="preserve">            Vidutinis 1 mėn.  išmokų skaičius</t>
  </si>
  <si>
    <t xml:space="preserve">            Vidutinė invalidumo pensija </t>
  </si>
  <si>
    <t xml:space="preserve">             Netekto darbingumo pensijų gavėjai </t>
  </si>
  <si>
    <t xml:space="preserve">             Vidutinis 1 mėn.  išmokų skaičius</t>
  </si>
  <si>
    <t xml:space="preserve">           Našlių ir našlaičių (maitintojo netekimo)</t>
  </si>
  <si>
    <t xml:space="preserve">           pensijų gavėjai</t>
  </si>
  <si>
    <t xml:space="preserve">            Maitintojo netekimo pensijų gavėjai</t>
  </si>
  <si>
    <t xml:space="preserve">            Vidutinė pensija</t>
  </si>
  <si>
    <t xml:space="preserve">            Našlaičių pensijų gavėjai</t>
  </si>
  <si>
    <t xml:space="preserve">            Našlių pensijų gavėjai</t>
  </si>
  <si>
    <t xml:space="preserve">            Vidutinė našlių pensija</t>
  </si>
  <si>
    <t xml:space="preserve">           Kompensacijų už ypatingas darbo </t>
  </si>
  <si>
    <t xml:space="preserve">           sąlygas gavėjų skaičius </t>
  </si>
  <si>
    <t xml:space="preserve">           Vidutinis 1 mėn.  išmokų skaičius</t>
  </si>
  <si>
    <t xml:space="preserve">           Vidutinė išmoka</t>
  </si>
  <si>
    <t>2 lapas</t>
  </si>
  <si>
    <t xml:space="preserve">             Apmokėtų ligos dienų skaičius 1 darbuotojui</t>
  </si>
  <si>
    <t>d.d.</t>
  </si>
  <si>
    <t xml:space="preserve">             Apmokėtų ligos dienų skaičius iš viso</t>
  </si>
  <si>
    <t xml:space="preserve">              Gavėjų skaičius</t>
  </si>
  <si>
    <t>3 lapas</t>
  </si>
  <si>
    <t xml:space="preserve">          Atvejų skaičius</t>
  </si>
  <si>
    <t xml:space="preserve">          Vidutinė atvejo trukmė</t>
  </si>
  <si>
    <t>d.</t>
  </si>
  <si>
    <t xml:space="preserve">           apdraustųjų pajamomis nuo kurių skaič. VSD įmokos</t>
  </si>
  <si>
    <t xml:space="preserve">           Atvejų skaičius</t>
  </si>
  <si>
    <t xml:space="preserve">           Vidutinė atvejo trukmė</t>
  </si>
  <si>
    <t xml:space="preserve">          Apdraustieji, netekę iki 20% darbingumo</t>
  </si>
  <si>
    <t xml:space="preserve">          Vidutinė išmoka</t>
  </si>
  <si>
    <t xml:space="preserve">          Apdraustieji, netekę nuo 20% iki 30% darbingumo</t>
  </si>
  <si>
    <t xml:space="preserve">          Gavėjų skaičius  (apdraustųjų skaičius)</t>
  </si>
  <si>
    <t xml:space="preserve">          Išmokų skaičius</t>
  </si>
  <si>
    <t xml:space="preserve">          Vidutinis mėnesinis kompensacijos dydis</t>
  </si>
  <si>
    <t xml:space="preserve">          Gavėjų skaičius (mirusių skaičius)</t>
  </si>
  <si>
    <t xml:space="preserve">          Vidutinis kompensacijos dydis</t>
  </si>
  <si>
    <t xml:space="preserve">          Gavėjų skaičius (išlaikytinių skaičius)</t>
  </si>
  <si>
    <t xml:space="preserve">           Išmokų skaičius</t>
  </si>
  <si>
    <t>4 lentelė</t>
  </si>
  <si>
    <t xml:space="preserve"> </t>
  </si>
  <si>
    <t>Kur,</t>
  </si>
  <si>
    <t>5 lapas</t>
  </si>
  <si>
    <t>1 lentelė</t>
  </si>
  <si>
    <t>PAPILDOMOS LENTELĖS</t>
  </si>
  <si>
    <t>PAJAMŲ SKAIČIAVIMAI</t>
  </si>
  <si>
    <t>Matav.</t>
  </si>
  <si>
    <t>ataskaita</t>
  </si>
  <si>
    <t>projektas</t>
  </si>
  <si>
    <t>prognozė</t>
  </si>
  <si>
    <t>Finansų ministerijos prognozuojami rodikliai:</t>
  </si>
  <si>
    <t>VSDFV prognozuojami rodikliai:</t>
  </si>
  <si>
    <t>Apdraustųjų tik nelaimingų atsitikimų darbe draudimu draudžamųjų pajamų bazė</t>
  </si>
  <si>
    <t>Moksleivių ir studentų, atliekančių profesinę praktiką įstaigoje skaičius</t>
  </si>
  <si>
    <t>VSD įmokas mokančių individualių  įmonių  savininkų, TŪB KŪB, MB narių, šeimynos dalyvių skaičius</t>
  </si>
  <si>
    <t>Kitų, užsiimančių individ. veikla asmenų, skaičius</t>
  </si>
  <si>
    <t>VSD įmokas mokančių ūkininkų skaičius</t>
  </si>
  <si>
    <t>Asmenų, slaugančių namuose neįgalius asmenis, skaičius</t>
  </si>
  <si>
    <t>1.1. Draudėjų  valstybinio socialinio draudimo įmokos</t>
  </si>
  <si>
    <t>1.2. Apdraustųjų  valstybinio  socialinio draudimo įmokos</t>
  </si>
  <si>
    <t>1.3. Savarankiškai dirbančių  asmenų valstybinio socialinio draudimo įmokos</t>
  </si>
  <si>
    <t xml:space="preserve">1.5. Delspinigiai, palūkanos ir baudos </t>
  </si>
  <si>
    <t>IŠ VISO PAJAMŲ:</t>
  </si>
  <si>
    <t xml:space="preserve">Nelaimingų atsitikimų darbe ir profesinių ligų socialinio </t>
  </si>
  <si>
    <t>draudimo įmokos tarifo diferencijavimas</t>
  </si>
  <si>
    <t>Tarifo dydis (%)</t>
  </si>
  <si>
    <t xml:space="preserve">Pirmoji grupė </t>
  </si>
  <si>
    <t>Antroji grupė</t>
  </si>
  <si>
    <t>Trečioji grupė</t>
  </si>
  <si>
    <t>Ketvirtoji grupė</t>
  </si>
  <si>
    <t xml:space="preserve"> Bendrasis šalies nelaimingų atsitikimų darbe ir profesinių ligų socialinio draudimo įmokos tarifas</t>
  </si>
  <si>
    <t>1. Įprastinė veikla</t>
  </si>
  <si>
    <t xml:space="preserve">   1.1.1.  Pinigų įplaukos</t>
  </si>
  <si>
    <t xml:space="preserve">   1.1.1.1.1. Pensijų socialiniam draudimui</t>
  </si>
  <si>
    <t xml:space="preserve">   1.1.1.1.4. Nedarbo socialiniam draudimui</t>
  </si>
  <si>
    <t xml:space="preserve">   1.1.1.1.5. Nelaimingų atsitikimų darbe ir profesinių ligų socialiniam draudimui</t>
  </si>
  <si>
    <t xml:space="preserve">   1.1.1.4. Valstybinio savanoriškojo socialinio draudimo įmokos</t>
  </si>
  <si>
    <t xml:space="preserve">   1.1.1.5. Delspinigiai, palūkanos ir baudos  </t>
  </si>
  <si>
    <t xml:space="preserve">   1.1.1.7.1.1. Pensijų fondai </t>
  </si>
  <si>
    <t xml:space="preserve">   1.1.1.7.1.2. Užimtumo fondas</t>
  </si>
  <si>
    <t xml:space="preserve">   1.1.1.7.1.3. Privalomojo sveikatos draudimo fondas </t>
  </si>
  <si>
    <t xml:space="preserve">   1.1.1.7.2. Kitos veiklos pajamos</t>
  </si>
  <si>
    <t xml:space="preserve">   1.1.2. Pinigų išlaidos</t>
  </si>
  <si>
    <t xml:space="preserve">   1.1.2.1. Pensijų socialiniam draudimui</t>
  </si>
  <si>
    <t xml:space="preserve">   1.1.2.6. Lėšos, pervedamos į pensijų fondus</t>
  </si>
  <si>
    <t xml:space="preserve">   1.1.2.7. Fondo administravimo įstaigų finansavimas</t>
  </si>
  <si>
    <t xml:space="preserve">   1.1.2.8. Kitos Fondo veiklos sąnaudos</t>
  </si>
  <si>
    <t xml:space="preserve">   1.2.1. Pinigų įplaukos</t>
  </si>
  <si>
    <t xml:space="preserve">   1.2.1.2. Sveikatos draudimo lėšos</t>
  </si>
  <si>
    <t xml:space="preserve">   1.2.1.3. Pensijų kaupimo dalyvių mokamos papildomos kaupiamosios pensijų įmokos</t>
  </si>
  <si>
    <t xml:space="preserve">   1.2.2.1. Lietuvos Respublikos valstybės biudžeto išmokos</t>
  </si>
  <si>
    <t xml:space="preserve">   1.2.2.2. Lėšos, pervedamos į Privalomojo sveikatos draudimo fondą</t>
  </si>
  <si>
    <t>2. Investicinė veikla</t>
  </si>
  <si>
    <t xml:space="preserve">   2.3. Išlaidos ilgalaikiam materialiajam turtui įsigyti</t>
  </si>
  <si>
    <t xml:space="preserve">   2.4. Įplaukos, gautos pardavus ilgalaikį materialiųjį  turtą </t>
  </si>
  <si>
    <t xml:space="preserve">   2.6. Įplaukos, gautos pardavus akcijas, obligacijas, kitus vertybinius popierius </t>
  </si>
  <si>
    <t xml:space="preserve">3. Finansinė veikla </t>
  </si>
  <si>
    <t xml:space="preserve">   3.1. Gautos  trumpalaikės paskolos  </t>
  </si>
  <si>
    <t xml:space="preserve">   3.2. Grąžintos trumpalaikės paskolos</t>
  </si>
  <si>
    <t xml:space="preserve">   3.3. Gautos ilgalaikės paskolos</t>
  </si>
  <si>
    <t xml:space="preserve">   3.4. Grąžintos ilgalaikės paskolos</t>
  </si>
  <si>
    <t xml:space="preserve">   5.2. Pokytis</t>
  </si>
  <si>
    <t xml:space="preserve">   5.3. Metų pabaigoje</t>
  </si>
  <si>
    <t>6. Kasos apyvartos lėšos</t>
  </si>
  <si>
    <t>5 lentelė</t>
  </si>
  <si>
    <t>Valstybinio socialinio draudimo fondo grynasis turtas</t>
  </si>
  <si>
    <t>Grynasis turtas</t>
  </si>
  <si>
    <t>1. Rezervas Fondo veiklai užtikrinti (kartu su perkainojimo rezervu)</t>
  </si>
  <si>
    <t>2. Fondo sukauptas rezultatas</t>
  </si>
  <si>
    <t xml:space="preserve"> - palūkanų</t>
  </si>
  <si>
    <t xml:space="preserve">2018 m. </t>
  </si>
  <si>
    <t>Savanorišką praktiką atliekančių skaičius</t>
  </si>
  <si>
    <r>
      <t xml:space="preserve">2.7.  </t>
    </r>
    <r>
      <rPr>
        <b/>
        <u/>
        <sz val="11"/>
        <rFont val="Times New Roman"/>
        <family val="1"/>
        <charset val="186"/>
      </rPr>
      <t>Neatgautinos ir abejotinai atgautinos</t>
    </r>
  </si>
  <si>
    <r>
      <t xml:space="preserve">       </t>
    </r>
    <r>
      <rPr>
        <b/>
        <u/>
        <sz val="11"/>
        <rFont val="Times New Roman"/>
        <family val="1"/>
        <charset val="186"/>
      </rPr>
      <t xml:space="preserve"> sumos</t>
    </r>
  </si>
  <si>
    <t xml:space="preserve">   1.1.1.1.2. Ligos socialiniam draudimui</t>
  </si>
  <si>
    <t xml:space="preserve">   1.1.1.1.3. Motinystės socialiniam draudimui</t>
  </si>
  <si>
    <t xml:space="preserve">   1.1.1.1.6. Pensijų ir nedarbo socialiniam  draudimui valstybės lėšomis</t>
  </si>
  <si>
    <t xml:space="preserve">   1.1.1.1.8. Pensijų, ligos ir motinystės socialiniam draudimui valstybės lėšomis</t>
  </si>
  <si>
    <t xml:space="preserve">   1.1.1.1.8.2. Ligos socialiniam draudimui valstybės lėšomis</t>
  </si>
  <si>
    <t xml:space="preserve">   1.1.1.1.8.3. Motinystės socialiniam draudimui valstybės lėšomis</t>
  </si>
  <si>
    <t xml:space="preserve">   1.1.1.6. Asignavimai iš Lietuvos Respublikos valstybės biudžeto</t>
  </si>
  <si>
    <t xml:space="preserve">   1.1.1.6.2. Kiti asignavimai iš Lietuvos Respublikos valstybės biudžeto</t>
  </si>
  <si>
    <t xml:space="preserve">   1.1.2.4. Nedarbo socialiniam draudimui</t>
  </si>
  <si>
    <t xml:space="preserve">   1.1.2.4.1. Nedarbo draudimo išmokoms</t>
  </si>
  <si>
    <t xml:space="preserve">   1.1.2.4.2. Dalinio darbo išmokoms</t>
  </si>
  <si>
    <t xml:space="preserve">   1.1.2.4.3. Aktyvios darbo rinkos politikos priemonėms</t>
  </si>
  <si>
    <t xml:space="preserve">   1.1.2.5. Nelaimingų atsitikimų darbe ir profesinių ligų socialiniam draudimui</t>
  </si>
  <si>
    <t xml:space="preserve">   5.1. Metų pradžioje</t>
  </si>
  <si>
    <t xml:space="preserve">              Motinystės išmokos vidutinė trukmė</t>
  </si>
  <si>
    <t xml:space="preserve">              Motinystės išmokos apmokėtų dienų skaičius</t>
  </si>
  <si>
    <t>2.4.2. Dalinio darbo išmokoms</t>
  </si>
  <si>
    <t xml:space="preserve">             Vidutinė 1 dienos ligos išmoka </t>
  </si>
  <si>
    <t xml:space="preserve">   1.1.1.1.6.2. Nedarbo socialiniam draudimui valstybės lėšomis</t>
  </si>
  <si>
    <t xml:space="preserve">2019 m. </t>
  </si>
  <si>
    <t xml:space="preserve">Vidutinis metinis dirbančiųjų, draudžiamų  visomis socialinio draudimo rūšimis skaičius </t>
  </si>
  <si>
    <t xml:space="preserve">1.6. Asignavimai iš Lietuvos Respublikos valstybės biudžeto </t>
  </si>
  <si>
    <t>1.7. Veiklos pajamos ir iš įtraukto į Fondo  apskaitą turto gaunamos pajamos</t>
  </si>
  <si>
    <t>2.4.3. Aktyvios darbo rinkos politikos priemonėms</t>
  </si>
  <si>
    <t xml:space="preserve">              Vidutinė motinystės 1 d. išmoka</t>
  </si>
  <si>
    <t xml:space="preserve">          Vienos ligos dienos išmokos santykis su vid. mėn.</t>
  </si>
  <si>
    <t xml:space="preserve">          Vidutinė 1d. išmoka</t>
  </si>
  <si>
    <t xml:space="preserve">           Vidutinė 1d. išmoka</t>
  </si>
  <si>
    <t xml:space="preserve">              Vidutinė 1 atvejo trukmė</t>
  </si>
  <si>
    <t xml:space="preserve">              Vidutinė 1 dienos išmoka</t>
  </si>
  <si>
    <t xml:space="preserve">              Vidutinis gavėjų skaičius</t>
  </si>
  <si>
    <t xml:space="preserve">              Vidutinė išmoka</t>
  </si>
  <si>
    <t xml:space="preserve">              Vidutinė mėnesio išmoka</t>
  </si>
  <si>
    <t>Motinų, auginančių vaikus iki 3 m. skaičius</t>
  </si>
  <si>
    <t>1.1.1. Pensijų socialiniam draudimui</t>
  </si>
  <si>
    <t>1.4. Valstybinio savanoriškojo socialinio draudimo įmokos</t>
  </si>
  <si>
    <t>Šalies vid. darbo užmokestis</t>
  </si>
  <si>
    <t xml:space="preserve">1.1.2. Ligos socialiniam draudimui           </t>
  </si>
  <si>
    <t xml:space="preserve">1.1.3.  Motinystės socialiniam draudimui </t>
  </si>
  <si>
    <t>1.1.4. Nedarbo socialiniam draudimui</t>
  </si>
  <si>
    <t>1.1.5. Nelaimingų atsitikimų darbe ir profesinių ligų socialiniam draudimui</t>
  </si>
  <si>
    <t>1.1.6. Pensijų ir nedarbo draudimui valstybės lėšomis</t>
  </si>
  <si>
    <t xml:space="preserve">   1.1.6.1. Pensijų socialiniam draudimui valstybės lėšomis</t>
  </si>
  <si>
    <t xml:space="preserve">   1.1.6.2. Nedarbo socialiniam draudimui valstybės lėšomis</t>
  </si>
  <si>
    <t>1.1.7. Nelaimingų atsitikimų darbe  ir profesinių ligų socialiniam draudimui valstybės lėšomis</t>
  </si>
  <si>
    <t>1.1.8. Pensijų, ligos ir motinystės socialiniam draudimui valstybės lėšomis</t>
  </si>
  <si>
    <t xml:space="preserve">   1.1.8.1. Pensijų socialiniam draudimui valstybės lėšomis</t>
  </si>
  <si>
    <t xml:space="preserve">   1.1.8.2. Ligos  socialiniam draudimui valstybės lėšomis</t>
  </si>
  <si>
    <t xml:space="preserve">   1.1.8.3. Motinystės socialiniam draudimui valstybės lėšomis</t>
  </si>
  <si>
    <t>1.2.1. Pensijų socialiniam draudimui</t>
  </si>
  <si>
    <t>1.3.1. Pensijų socialiniam draudimui</t>
  </si>
  <si>
    <t xml:space="preserve">1.3.2. Ligos socialiniam draudimui </t>
  </si>
  <si>
    <t>1.3.3. Motinystės socialiniam draudimui</t>
  </si>
  <si>
    <t>1.3.4. Nedarbo socialiniam draudimui</t>
  </si>
  <si>
    <t>1.5.1.  Fondui</t>
  </si>
  <si>
    <t xml:space="preserve">   1.5.1.1. Delspinigiai ir baudos</t>
  </si>
  <si>
    <t xml:space="preserve">   1.5.1.2. Palūkanos</t>
  </si>
  <si>
    <t xml:space="preserve">1.6.2. Kti asignavimai iš LR  valstybės biudžeto </t>
  </si>
  <si>
    <t>Meno kūrėjų statusą turinčių ,kuriuos remia valstybė, sk.</t>
  </si>
  <si>
    <t xml:space="preserve">Dvasininkų ir tik vienuolyne dirbančių vienuolių skaičius  </t>
  </si>
  <si>
    <t>Kitų asmenų, valstybės draudžiamų visai pensijai ir draudimu nuo nedarbo, skaičius</t>
  </si>
  <si>
    <t>1.7.2. Kitos veiklos  pajamos</t>
  </si>
  <si>
    <t>1.6.1. Asignavimai iš LR valstybės biudžeto socialinio draudimo bendrajai pensijos daliai (iki 2017 m. gruodžio 31 d. - pagrindinei socialinio draudimo pensijos daliai) kompensuoti</t>
  </si>
  <si>
    <t>3 lentelė</t>
  </si>
  <si>
    <t xml:space="preserve">          Vidutinė senatvės pensija </t>
  </si>
  <si>
    <t xml:space="preserve">          Vidutinė senatvės pensija, turint būtinąjį stažą</t>
  </si>
  <si>
    <t xml:space="preserve">           Ištarnauto laiko pensijų gavėjai</t>
  </si>
  <si>
    <t xml:space="preserve">           Vidutinė pensija</t>
  </si>
  <si>
    <t xml:space="preserve">           Išankstinių pensijų gavėjai</t>
  </si>
  <si>
    <t xml:space="preserve">           Vidutinė pensija </t>
  </si>
  <si>
    <t>tūkst.žm.</t>
  </si>
  <si>
    <t>tūkst.Eur</t>
  </si>
  <si>
    <t>tūkst. Eur</t>
  </si>
  <si>
    <t>-</t>
  </si>
  <si>
    <t xml:space="preserve">4 lentelė </t>
  </si>
  <si>
    <t xml:space="preserve">  Pateiktame įstatymo projekte siūloma išskirti keturias tarifų grupes pagal Lietuvos Respublikos socialinės apsaugos ir darbo ministro 2017 m. liepos 7 d. įsakymu Nr. A1-387 patvirtintą "Draudėjų priskyrimo nelaimingų atsitikimų darbe ir profesinių ligų socialinio draudimo įmokos tarifų grupėms metodiką".  Šie nelaimingų atsitikimų darbe ir profesinių ligų socialinio draudimo  grupių įmokų tarifai  apskaičiuoti,  įvertinant  kiekvieno draudėjo traumatizmo ir profesinio sergamumo rodiklius per praėjusius tris metus, vidutinį metinį apdraustųjų skaičių,  metinį darbo užmokesčio fondą.  </t>
  </si>
  <si>
    <t xml:space="preserve">Vidutinis mėnesinis bruto darbo užmokestis, šalies ūkyje, įskaitant individualias įmones: </t>
  </si>
  <si>
    <t xml:space="preserve">          Senatvės pensijoms </t>
  </si>
  <si>
    <t xml:space="preserve">            Maitintojo netekimo pensijoms </t>
  </si>
  <si>
    <r>
      <t xml:space="preserve">2.1. </t>
    </r>
    <r>
      <rPr>
        <b/>
        <u/>
        <sz val="12"/>
        <rFont val="Times New Roman"/>
        <family val="1"/>
        <charset val="186"/>
      </rPr>
      <t xml:space="preserve">Pensijų socialiniam draudimui </t>
    </r>
  </si>
  <si>
    <r>
      <t>2.1.2.</t>
    </r>
    <r>
      <rPr>
        <b/>
        <u/>
        <sz val="10"/>
        <rFont val="Times New Roman"/>
        <family val="1"/>
        <charset val="186"/>
      </rPr>
      <t xml:space="preserve"> Netekto darbingumo (invalidumo) pensijoms </t>
    </r>
  </si>
  <si>
    <r>
      <t xml:space="preserve">            I</t>
    </r>
    <r>
      <rPr>
        <b/>
        <u/>
        <sz val="10"/>
        <rFont val="Times New Roman"/>
        <family val="1"/>
        <charset val="186"/>
      </rPr>
      <t xml:space="preserve">nvalidumo pensijoms </t>
    </r>
  </si>
  <si>
    <r>
      <t>2.1.3.</t>
    </r>
    <r>
      <rPr>
        <b/>
        <u/>
        <sz val="10"/>
        <rFont val="Times New Roman"/>
        <family val="1"/>
        <charset val="186"/>
      </rPr>
      <t xml:space="preserve"> Našlių ir našlaičių (maitintojo</t>
    </r>
  </si>
  <si>
    <r>
      <t xml:space="preserve">2.1.4. </t>
    </r>
    <r>
      <rPr>
        <b/>
        <u/>
        <sz val="10"/>
        <rFont val="Times New Roman"/>
        <family val="1"/>
        <charset val="186"/>
      </rPr>
      <t>Ištarnauto laiko pensijoms</t>
    </r>
  </si>
  <si>
    <r>
      <t xml:space="preserve">2.1.5. </t>
    </r>
    <r>
      <rPr>
        <b/>
        <u/>
        <sz val="10"/>
        <rFont val="Times New Roman"/>
        <family val="1"/>
        <charset val="186"/>
      </rPr>
      <t>Kompensacijoms už ypatingas darbo sąlygas</t>
    </r>
  </si>
  <si>
    <r>
      <t xml:space="preserve">           </t>
    </r>
    <r>
      <rPr>
        <b/>
        <u/>
        <sz val="10"/>
        <rFont val="Times New Roman"/>
        <family val="1"/>
        <charset val="186"/>
      </rPr>
      <t>laidojusiems asmenims</t>
    </r>
  </si>
  <si>
    <r>
      <t>2.1.8.</t>
    </r>
    <r>
      <rPr>
        <b/>
        <u/>
        <sz val="10"/>
        <rFont val="Times New Roman"/>
        <family val="1"/>
        <charset val="186"/>
      </rPr>
      <t xml:space="preserve"> Valstybinio socialinio draudimo fonde</t>
    </r>
  </si>
  <si>
    <r>
      <t xml:space="preserve">           </t>
    </r>
    <r>
      <rPr>
        <b/>
        <u/>
        <sz val="10"/>
        <rFont val="Times New Roman"/>
        <family val="1"/>
        <charset val="186"/>
      </rPr>
      <t>įgytoms pensinėms teisėms</t>
    </r>
  </si>
  <si>
    <t xml:space="preserve">             Ligos išmokoms</t>
  </si>
  <si>
    <t xml:space="preserve">              Motinystės išmokoms</t>
  </si>
  <si>
    <t xml:space="preserve">   1.1.1.6.1. Asignavimai iš Lietuvos Respublikos valstybės biudžeto socialinio draudimo pagrindinei (bendrajai) pensijos daliai kompensuoti</t>
  </si>
  <si>
    <t xml:space="preserve">   1.1.1.8. Iš Rezervo fondo gautos lėšos</t>
  </si>
  <si>
    <t xml:space="preserve">   1.1.1.9. Europos Sąjungos institucijų pensijų sistemoje įgytos pensinės teisės</t>
  </si>
  <si>
    <t xml:space="preserve">   1.2.1.5. Garantinio fondo lėšos</t>
  </si>
  <si>
    <t xml:space="preserve">   1.2.1.6. Ilgalaikio darbo išmokų fondo lėšos</t>
  </si>
  <si>
    <t xml:space="preserve">   1.2.2. Piniginės išlaidos</t>
  </si>
  <si>
    <t xml:space="preserve">   1.2.2.5. Garantinio fondo lėšos</t>
  </si>
  <si>
    <t xml:space="preserve">   3.5. Įsipareigojimų pagal finansinės nuomos (lizingo) sutartis padengimas</t>
  </si>
  <si>
    <t xml:space="preserve">   5.1.1. Rezervinio fondo lėšos</t>
  </si>
  <si>
    <t xml:space="preserve">   5.1.2. Kitos lėšos</t>
  </si>
  <si>
    <t xml:space="preserve">   5.2.1. Rezervinio fondo lėšų</t>
  </si>
  <si>
    <t xml:space="preserve">   5.2.2. Kitų lėšų</t>
  </si>
  <si>
    <t xml:space="preserve">   5.3.2. Kitos lėšos</t>
  </si>
  <si>
    <t xml:space="preserve">   5.3.1. Rezervinio fondo lėšos</t>
  </si>
  <si>
    <t xml:space="preserve">   1.1.1.1.8.1. Pensijų socialiniam draudimui valstybės lėšomis</t>
  </si>
  <si>
    <t xml:space="preserve">   1.2.1.1. Lietuvos Respublikos valstybės biudžeto lėšos, skirtos išmokoms finansuoti</t>
  </si>
  <si>
    <t xml:space="preserve">   1.2.1.7. Kitos piniginės įplaukos</t>
  </si>
  <si>
    <t xml:space="preserve">   2.5. Išlaidos akcijoms, obligacijoms, kitiems vertybiniams popieriams įsigyti</t>
  </si>
  <si>
    <t>4. Grynųjų pinigų ir jų ekvivalentų pokytis</t>
  </si>
  <si>
    <t>5.  Grynųjų pinigų ir jų ekvivalentų cirkuliacija</t>
  </si>
  <si>
    <t xml:space="preserve">2020 m. </t>
  </si>
  <si>
    <t xml:space="preserve">   1.1.1.1.7. Nelaimingų atsitikimų darbe ir profesinių ligų socialiniam draudimui valstybės    lėšomis</t>
  </si>
  <si>
    <t xml:space="preserve">   1.1.1.3.1. Pensijų socialiniam draudimui</t>
  </si>
  <si>
    <t xml:space="preserve">   1.1.1.3.2. Ligos socialiniam draudimui</t>
  </si>
  <si>
    <t xml:space="preserve">   1.1.1.3.3. Motinystės socialiniam draudimui</t>
  </si>
  <si>
    <t xml:space="preserve">   1.1.1.3.4. Nedarbo socialiniam draudimui</t>
  </si>
  <si>
    <t>1.2. Kita Fondui pavesta veikla</t>
  </si>
  <si>
    <t>Metinė draudžiamųjų pajamų bazė ( perskaičiuota)</t>
  </si>
  <si>
    <t>VSD įmokas mokančių asmenų, turinčių verslo liudijimus  vid. metinis skaičius</t>
  </si>
  <si>
    <t>Piniginės įplaukos ir išlaidos</t>
  </si>
  <si>
    <r>
      <t xml:space="preserve">   </t>
    </r>
    <r>
      <rPr>
        <sz val="11"/>
        <color theme="1"/>
        <rFont val="Times New Roman"/>
        <family val="1"/>
        <charset val="186"/>
      </rPr>
      <t>Valiutų kursų pasikeitimo poveikis</t>
    </r>
  </si>
  <si>
    <t xml:space="preserve">   1.2.2.4. Pervedamos iš Lietuvos Respublikos valstybės biudžeto lėšų už pensijų kaupimo dalyvį mokamos kaupiamosios pensijų įmokos</t>
  </si>
  <si>
    <t xml:space="preserve">   1.2.2.3. Pervedamos pensijų kaupimo dalyvių mokamos kaupiamosios pensijų įmokos</t>
  </si>
  <si>
    <t>2019 m.</t>
  </si>
  <si>
    <r>
      <t xml:space="preserve">   </t>
    </r>
    <r>
      <rPr>
        <sz val="11"/>
        <color theme="1"/>
        <rFont val="Times New Roman"/>
        <family val="1"/>
        <charset val="186"/>
      </rPr>
      <t>1.1.2.3. Motinystės socialiniam draudimui</t>
    </r>
  </si>
  <si>
    <r>
      <t xml:space="preserve">   </t>
    </r>
    <r>
      <rPr>
        <sz val="11"/>
        <color theme="1"/>
        <rFont val="Times New Roman"/>
        <family val="1"/>
        <charset val="186"/>
      </rPr>
      <t>1.1.2.2. Ligos socialiniam draudimui</t>
    </r>
  </si>
  <si>
    <t xml:space="preserve">   1.1.1.7.1. Fondo veiklos sąnaudų kompensavimas už surinktas ir pervestas įmokas, už išmokų skyrimą ir mokėjimą</t>
  </si>
  <si>
    <t xml:space="preserve">   1.1.1.7. Veiklos pajamos ir iš įtraukto į Fondo apskaitą turto gaunamos pajamų įplaukos</t>
  </si>
  <si>
    <t xml:space="preserve">   1.1.1.3. Savarankiškai dirbančių asmenų valstybinio socialinio draudimo įmokos</t>
  </si>
  <si>
    <t xml:space="preserve">   1.1.1.2.3. Motinystės socialiniam draudimui</t>
  </si>
  <si>
    <t xml:space="preserve">   1.1.1.2.2. Ligos socialiniam draudimui</t>
  </si>
  <si>
    <t xml:space="preserve">   1.1.1.2.1. Pensijų socialiniam draudimui</t>
  </si>
  <si>
    <t xml:space="preserve">   1.1.1.1.6.1. Pensijų socialiniam draudimui valstybės lėšomis</t>
  </si>
  <si>
    <t xml:space="preserve">   1.1.1.1. Draudėjų valstybinio socialinio draudimo įmokos</t>
  </si>
  <si>
    <t xml:space="preserve">           (su atidėjinių pokyčiu)</t>
  </si>
  <si>
    <t xml:space="preserve">           Netekto darbingumo vienkartinių kompensacijų </t>
  </si>
  <si>
    <t xml:space="preserve">           atidėjiniai</t>
  </si>
  <si>
    <t xml:space="preserve">           atidėjinių pokytis</t>
  </si>
  <si>
    <t xml:space="preserve">           Vienkartinių draudimo išmokų apdraustajam</t>
  </si>
  <si>
    <t xml:space="preserve">           mirus atidėjiniai</t>
  </si>
  <si>
    <t xml:space="preserve">           mirus atidėjinių pokytis</t>
  </si>
  <si>
    <t xml:space="preserve">          Profesinėms ligoms</t>
  </si>
  <si>
    <t xml:space="preserve">          Traumoms darbe ir kelyje</t>
  </si>
  <si>
    <t xml:space="preserve">          Ligos dėl nelaimingo atsitikimo darbe, pakeliui</t>
  </si>
  <si>
    <t xml:space="preserve">           į darbą ar iš darbo arba profesinės ligos pašalpų</t>
  </si>
  <si>
    <t xml:space="preserve">          Terminuotam nedarbingumui</t>
  </si>
  <si>
    <t xml:space="preserve">         Neterminuotui nedarbingumui</t>
  </si>
  <si>
    <t xml:space="preserve">   Draudėjams, pas kuriuos per pastaruosius tris kalendorinius metus įvyko daugiausiai mirtinų ir sunkių nelaimingų atsitikimų darbe,  pripažintų draudiminiais įvykiais,  nelaimingų atsitikimų darbe ir profesinių ligų socialinio draudimo įmokos tarifas bus  0,7 proc. Jie bus priskirti  trečiajai įmokos tarifo grupei.                                   </t>
  </si>
  <si>
    <t xml:space="preserve">   Likusiems draudėjams įmokos tarifas bus 0,14 proc., jie bus priskirti pirmajai įmokos tarifo grupei.</t>
  </si>
  <si>
    <t xml:space="preserve">   Bendrasis šalies įmokos tarifo dydis šiai socialinio draudimo rūšiai bus 0,16 proc.</t>
  </si>
  <si>
    <t xml:space="preserve">             Ligos išmokų atidėjiniai</t>
  </si>
  <si>
    <t xml:space="preserve">             Ligos išmokų atidėjinių pokytis</t>
  </si>
  <si>
    <t xml:space="preserve">              Motinystės išmokų atidėjiniai</t>
  </si>
  <si>
    <t xml:space="preserve">              Motinystės išmokų atidėjinių pokytis</t>
  </si>
  <si>
    <t xml:space="preserve">2.3.1.2.1. Vaiko priežiūros išmokoms iki vaikui </t>
  </si>
  <si>
    <t xml:space="preserve">              Vaiko priežiūros išmokų atidėjiniai</t>
  </si>
  <si>
    <t xml:space="preserve">              Vaiko priežiūros išmokų atidėjinių pokytis</t>
  </si>
  <si>
    <t xml:space="preserve">              Tėvystės išmokų atidėjiniai</t>
  </si>
  <si>
    <t xml:space="preserve">              Tėvystės išmokų atidėjinių pokytis</t>
  </si>
  <si>
    <t xml:space="preserve">   1.2.2.6. Ilgalaikio darbo išmokų fondo lėšos</t>
  </si>
  <si>
    <t xml:space="preserve">   1.2.2.7. Kitos piniginės išlaidos</t>
  </si>
  <si>
    <t>Valstybinio socialinio draudimo išlaidų vidutiniai metiniai rodikliai:</t>
  </si>
  <si>
    <r>
      <t xml:space="preserve">2.1.1. </t>
    </r>
    <r>
      <rPr>
        <b/>
        <u/>
        <sz val="10"/>
        <rFont val="Times New Roman"/>
        <family val="1"/>
        <charset val="186"/>
      </rPr>
      <t xml:space="preserve">Senatvės pensijoms </t>
    </r>
    <r>
      <rPr>
        <sz val="10"/>
        <rFont val="Times New Roman"/>
        <family val="1"/>
        <charset val="186"/>
      </rPr>
      <t>(su įsipareigojimų pokyčiu)</t>
    </r>
  </si>
  <si>
    <r>
      <t xml:space="preserve">          </t>
    </r>
    <r>
      <rPr>
        <sz val="10"/>
        <rFont val="Times New Roman"/>
        <family val="1"/>
        <charset val="186"/>
      </rPr>
      <t>Senatvės pensijų įsipareigojimai</t>
    </r>
  </si>
  <si>
    <r>
      <t xml:space="preserve">          </t>
    </r>
    <r>
      <rPr>
        <sz val="10"/>
        <rFont val="Times New Roman"/>
        <family val="1"/>
        <charset val="186"/>
      </rPr>
      <t>Senatvės pensijų įsipareigojimų pokytis</t>
    </r>
  </si>
  <si>
    <r>
      <t xml:space="preserve">       </t>
    </r>
    <r>
      <rPr>
        <sz val="10"/>
        <rFont val="Times New Roman"/>
        <family val="1"/>
        <charset val="186"/>
      </rPr>
      <t xml:space="preserve">   (su atidėjinių pokyčiu)</t>
    </r>
  </si>
  <si>
    <t xml:space="preserve">           Netekto darbingumo (invalidumo) pensijų gavėjai </t>
  </si>
  <si>
    <r>
      <t xml:space="preserve">             </t>
    </r>
    <r>
      <rPr>
        <b/>
        <u/>
        <sz val="10"/>
        <rFont val="Times New Roman"/>
        <family val="1"/>
        <charset val="186"/>
      </rPr>
      <t>Netekto darbingumo pensijoms</t>
    </r>
  </si>
  <si>
    <r>
      <t xml:space="preserve">           </t>
    </r>
    <r>
      <rPr>
        <sz val="10"/>
        <rFont val="Times New Roman"/>
        <family val="1"/>
        <charset val="186"/>
      </rPr>
      <t xml:space="preserve">   (su atidėjinių pokyčiu)</t>
    </r>
  </si>
  <si>
    <t xml:space="preserve">             Netekto darbingumo pensijoms </t>
  </si>
  <si>
    <t xml:space="preserve">             Vidutinė netekto darbingumo pensija </t>
  </si>
  <si>
    <t xml:space="preserve">             Netekto darbingumo pensijų atidėjiniai</t>
  </si>
  <si>
    <t xml:space="preserve">             Netekto darbingumo pensijų atidėjinių pokytis </t>
  </si>
  <si>
    <r>
      <t xml:space="preserve">           </t>
    </r>
    <r>
      <rPr>
        <b/>
        <u/>
        <sz val="10"/>
        <rFont val="Times New Roman"/>
        <family val="1"/>
        <charset val="186"/>
      </rPr>
      <t xml:space="preserve">netekimo) pensijoms </t>
    </r>
    <r>
      <rPr>
        <sz val="10"/>
        <rFont val="Times New Roman"/>
        <family val="1"/>
        <charset val="186"/>
      </rPr>
      <t>(su atidėjinių pokyčiu)</t>
    </r>
  </si>
  <si>
    <r>
      <t xml:space="preserve">            Našlaičių pensijoms</t>
    </r>
    <r>
      <rPr>
        <sz val="10"/>
        <rFont val="Times New Roman"/>
        <family val="1"/>
        <charset val="186"/>
      </rPr>
      <t xml:space="preserve"> (su atidėjinių pokyčiu)</t>
    </r>
  </si>
  <si>
    <r>
      <t xml:space="preserve">            Našlaičių pensijoms</t>
    </r>
    <r>
      <rPr>
        <b/>
        <sz val="8"/>
        <rFont val="Times New Roman"/>
        <family val="1"/>
        <charset val="186"/>
      </rPr>
      <t/>
    </r>
  </si>
  <si>
    <t xml:space="preserve">             Našlaičių pensijų atidėjiniai</t>
  </si>
  <si>
    <t xml:space="preserve">             Našlaičių pensijų atidėjinių pokytis </t>
  </si>
  <si>
    <t xml:space="preserve">            Našlių pensijoms </t>
  </si>
  <si>
    <r>
      <t xml:space="preserve">            Našlių pensijoms</t>
    </r>
    <r>
      <rPr>
        <b/>
        <sz val="8"/>
        <rFont val="Times New Roman"/>
        <family val="1"/>
        <charset val="186"/>
      </rPr>
      <t xml:space="preserve"> (už mirusius po 95-01-01) </t>
    </r>
  </si>
  <si>
    <r>
      <t xml:space="preserve">     </t>
    </r>
    <r>
      <rPr>
        <sz val="10"/>
        <rFont val="Times New Roman"/>
        <family val="1"/>
        <charset val="186"/>
      </rPr>
      <t xml:space="preserve">       (su atidėjinių pokyčiu)</t>
    </r>
  </si>
  <si>
    <r>
      <t xml:space="preserve">            Našlių pensijoms</t>
    </r>
    <r>
      <rPr>
        <sz val="8"/>
        <rFont val="Times New Roman"/>
        <family val="1"/>
        <charset val="186"/>
      </rPr>
      <t xml:space="preserve"> (už mirusius po 95-01-01)</t>
    </r>
  </si>
  <si>
    <t xml:space="preserve">             Našlių pensijų atidėjiniai</t>
  </si>
  <si>
    <t xml:space="preserve">             Našlių pensijų atidėjinių pokytis </t>
  </si>
  <si>
    <r>
      <t xml:space="preserve">            Našlių pensijoms</t>
    </r>
    <r>
      <rPr>
        <b/>
        <sz val="8"/>
        <rFont val="Times New Roman"/>
        <family val="1"/>
        <charset val="186"/>
      </rPr>
      <t xml:space="preserve"> (už mirusius iki 95-01-01)</t>
    </r>
  </si>
  <si>
    <r>
      <t xml:space="preserve">2.1.6. </t>
    </r>
    <r>
      <rPr>
        <b/>
        <u/>
        <sz val="10"/>
        <rFont val="Times New Roman"/>
        <family val="1"/>
        <charset val="186"/>
      </rPr>
      <t>Išankstinėms senatvės pensijoms</t>
    </r>
  </si>
  <si>
    <r>
      <t xml:space="preserve">2.1.7. </t>
    </r>
    <r>
      <rPr>
        <b/>
        <u/>
        <sz val="10"/>
        <rFont val="Times New Roman"/>
        <family val="1"/>
        <charset val="186"/>
      </rPr>
      <t xml:space="preserve">Išmokoms mirusius pensijų gavėjus </t>
    </r>
  </si>
  <si>
    <r>
      <rPr>
        <b/>
        <sz val="11"/>
        <rFont val="Times New Roman"/>
        <family val="1"/>
        <charset val="186"/>
      </rPr>
      <t xml:space="preserve">2.6.  </t>
    </r>
    <r>
      <rPr>
        <b/>
        <u/>
        <sz val="11"/>
        <rFont val="Times New Roman"/>
        <family val="1"/>
        <charset val="186"/>
      </rPr>
      <t>Lėšos, pervedamos į pensijų fondus</t>
    </r>
  </si>
  <si>
    <r>
      <t>2.8.1.</t>
    </r>
    <r>
      <rPr>
        <b/>
        <u/>
        <sz val="10"/>
        <rFont val="Times New Roman"/>
        <family val="1"/>
        <charset val="186"/>
      </rPr>
      <t xml:space="preserve"> Fondo administravimo įstaigų finansavimo</t>
    </r>
  </si>
  <si>
    <r>
      <rPr>
        <b/>
        <sz val="10"/>
        <rFont val="Times New Roman"/>
        <family val="1"/>
        <charset val="186"/>
      </rPr>
      <t xml:space="preserve">        </t>
    </r>
    <r>
      <rPr>
        <b/>
        <u/>
        <sz val="10"/>
        <rFont val="Times New Roman"/>
        <family val="1"/>
        <charset val="186"/>
      </rPr>
      <t>sąnaudos</t>
    </r>
  </si>
  <si>
    <t>6 lentelė</t>
  </si>
  <si>
    <t xml:space="preserve">Asignavimų iš Lietuvos Respublikos valstybės biudžeto socialinio draudimo pagrindinei (bendrajai) pensijos daliai kompensuoti sumos </t>
  </si>
  <si>
    <t>Iš viso</t>
  </si>
  <si>
    <t>Priskaičiuota socialinio draudimo pensijų suma (tūkst. eur)</t>
  </si>
  <si>
    <t>1.7.1. Fondo veiklos sąnaudų kompensavimas už surinktas ir pervestas įmokas, už išmokų skyrimą ir mokėjimą</t>
  </si>
  <si>
    <t>1.2.3. Motinystės socialiniam draudimui</t>
  </si>
  <si>
    <t xml:space="preserve">1.2.2. Ligos socialiniam draudimui </t>
  </si>
  <si>
    <t xml:space="preserve">2021 m. </t>
  </si>
  <si>
    <t>mln.Eur</t>
  </si>
  <si>
    <t>mln. Eur</t>
  </si>
  <si>
    <t>Metinis darbo užmokesčio fondas</t>
  </si>
  <si>
    <t>1.1. Įprastinė Fondo veikla</t>
  </si>
  <si>
    <t xml:space="preserve">           Išmokų laidojusiems asmenims skaičius</t>
  </si>
  <si>
    <r>
      <t>- bendroji pensijų dalis</t>
    </r>
    <r>
      <rPr>
        <i/>
        <sz val="11"/>
        <color theme="1"/>
        <rFont val="Times New Roman"/>
        <family val="1"/>
        <charset val="186"/>
      </rPr>
      <t xml:space="preserve"> </t>
    </r>
  </si>
  <si>
    <t xml:space="preserve">- individualioji pensijų dalis </t>
  </si>
  <si>
    <t>2018 m. ataskaita</t>
  </si>
  <si>
    <t>2022 m. prognozė</t>
  </si>
  <si>
    <t>Nelaimingų atsitikimų darbe ir profesinių ligų socialinio draudimo įmokos tarifų grupės 2020 metais</t>
  </si>
  <si>
    <t>7 lentelė</t>
  </si>
  <si>
    <t>Vadovaujantis Lietuvos Respublikos Valstybinių socialinio draudimo pensijų įstatymo Nr. I -549 pakeitimo įstatymo 8 straipsnio ir Socialinio draudimo pensijų skyrimo ir mokėjimo nuostatų 30 punkto nuostatomis Valstybinio socialinio draudimo fondo valdyba prie Socialinės apsaugos ir darbo ministerijos pateikia šiuos skaičiavimus.</t>
  </si>
  <si>
    <t>Remiantis: 1) Lietuvos statistikos departamento skelbiamais duomenimis - metinės bruto darbo apmokėjimo lėšos (šalies ūkis su individualiosiomis įmonėmis):</t>
  </si>
  <si>
    <t>2016 m. – 9 924 294,7 tūkst. Eur;</t>
  </si>
  <si>
    <t>2017 m. – 10 845 720,1 tūkst. Eur;</t>
  </si>
  <si>
    <t>2018 m. – 12 047 733,9 tūkst. Eur;</t>
  </si>
  <si>
    <t>2) Finansų ministerijos Ekonominės raidos scenarijuje skelbiamais metinio darbo užmokesčio fondo prognozės duomenimis:</t>
  </si>
  <si>
    <t>apskaičiuojami darbo užmokesčio fondų metiniai pokyčiai:</t>
  </si>
  <si>
    <r>
      <t>DUF</t>
    </r>
    <r>
      <rPr>
        <vertAlign val="subscript"/>
        <sz val="12"/>
        <color theme="1"/>
        <rFont val="Times New Roman"/>
        <family val="1"/>
        <charset val="186"/>
      </rPr>
      <t xml:space="preserve">2017 </t>
    </r>
    <r>
      <rPr>
        <sz val="12"/>
        <color theme="1"/>
        <rFont val="Times New Roman"/>
        <family val="1"/>
        <charset val="186"/>
      </rPr>
      <t>/ DUF</t>
    </r>
    <r>
      <rPr>
        <vertAlign val="subscript"/>
        <sz val="12"/>
        <color theme="1"/>
        <rFont val="Times New Roman"/>
        <family val="1"/>
        <charset val="186"/>
      </rPr>
      <t>2016</t>
    </r>
    <r>
      <rPr>
        <sz val="12"/>
        <color theme="1"/>
        <rFont val="Times New Roman"/>
        <family val="1"/>
        <charset val="186"/>
      </rPr>
      <t>-1 = 0,0928;</t>
    </r>
  </si>
  <si>
    <r>
      <t>DUF</t>
    </r>
    <r>
      <rPr>
        <vertAlign val="subscript"/>
        <sz val="12"/>
        <color theme="1"/>
        <rFont val="Times New Roman"/>
        <family val="1"/>
        <charset val="186"/>
      </rPr>
      <t xml:space="preserve">2018 </t>
    </r>
    <r>
      <rPr>
        <sz val="12"/>
        <color theme="1"/>
        <rFont val="Times New Roman"/>
        <family val="1"/>
        <charset val="186"/>
      </rPr>
      <t>/ DUF</t>
    </r>
    <r>
      <rPr>
        <vertAlign val="subscript"/>
        <sz val="12"/>
        <color theme="1"/>
        <rFont val="Times New Roman"/>
        <family val="1"/>
        <charset val="186"/>
      </rPr>
      <t>2017</t>
    </r>
    <r>
      <rPr>
        <sz val="12"/>
        <color theme="1"/>
        <rFont val="Times New Roman"/>
        <family val="1"/>
        <charset val="186"/>
      </rPr>
      <t>-1 = 0,1108;</t>
    </r>
  </si>
  <si>
    <t xml:space="preserve">7 metų darbo užmokesčio fondo pokyčių vidurkis: </t>
  </si>
  <si>
    <r>
      <t>λ</t>
    </r>
    <r>
      <rPr>
        <b/>
        <vertAlign val="subscript"/>
        <sz val="14"/>
        <color theme="1"/>
        <rFont val="Times New Roman"/>
        <family val="1"/>
        <charset val="186"/>
      </rPr>
      <t xml:space="preserve">2020 </t>
    </r>
    <r>
      <rPr>
        <sz val="14"/>
        <color theme="1"/>
        <rFont val="Times New Roman"/>
        <family val="1"/>
        <charset val="186"/>
      </rPr>
      <t>=</t>
    </r>
  </si>
  <si>
    <t>Socialinio draudimo našlių pensijos bazinis dydis apskaičiuojamas euro cento tikslumu dauginat 2018 m. gruodžio mėn. našlių pensijos bazinį dydį iš 2019 metų indeksavimo koeficiento:</t>
  </si>
  <si>
    <t>Apskaitos vieneto vertės dydis apskaičiuojamas euro cento tikslumu dauginat 2018 m. gruodį galiojusį apskaitos vieneto dydį dauginat iš 2019 metų indeksavimo koeficiento:</t>
  </si>
  <si>
    <t>2018 m.</t>
  </si>
  <si>
    <t>2020 m.</t>
  </si>
  <si>
    <t xml:space="preserve">   1.1.1.2. Apdraustųjų valstybinio socialinio draudimo įmokos </t>
  </si>
  <si>
    <t xml:space="preserve">   1.1.1.7.1.4. Garantinis fondas</t>
  </si>
  <si>
    <t xml:space="preserve">   1.1.1.7.1.5. Ilgalaikio darbo išmokų fondas</t>
  </si>
  <si>
    <t xml:space="preserve">   1.1.1.7.1.6. Kitos kompensavimo sumos</t>
  </si>
  <si>
    <t xml:space="preserve">   1.1.1.10. Iš pensijų fondų grąžintos lėšos</t>
  </si>
  <si>
    <t xml:space="preserve">   1.2.1.4. Iš Lietuvos Respublikos valstybės biudžeto lėšų už pensijų kaupimo dalyvį mokamos papildomos kaupiamosios pensijų įmokos</t>
  </si>
  <si>
    <t xml:space="preserve">   2.1. Išlaidos nematerialiajam turtui įsigyti</t>
  </si>
  <si>
    <t xml:space="preserve">   2.2. Įplaukos, gautos pardavus nematerialųjį turtą </t>
  </si>
  <si>
    <t xml:space="preserve">2022 m. </t>
  </si>
  <si>
    <t>Nedarbo draudimo išmokoms</t>
  </si>
  <si>
    <t>Nedarbo draudimo išmokų atidėjiniai</t>
  </si>
  <si>
    <t>Nedarbo draudimo išmokų atidėjinių pokytis</t>
  </si>
  <si>
    <r>
      <t xml:space="preserve">2.8.2. </t>
    </r>
    <r>
      <rPr>
        <b/>
        <u/>
        <sz val="10"/>
        <rFont val="Times New Roman"/>
        <family val="1"/>
        <charset val="186"/>
      </rPr>
      <t>Ilgalaikio turto nusidėvėjimas (amortizacija)</t>
    </r>
  </si>
  <si>
    <r>
      <t>T</t>
    </r>
    <r>
      <rPr>
        <vertAlign val="subscript"/>
        <sz val="10"/>
        <color theme="1"/>
        <rFont val="Times New Roman"/>
        <family val="1"/>
        <charset val="186"/>
      </rPr>
      <t xml:space="preserve"> skyrimo ir mokėjimo</t>
    </r>
    <r>
      <rPr>
        <sz val="10"/>
        <color theme="1"/>
        <rFont val="Times New Roman"/>
        <family val="1"/>
        <charset val="186"/>
      </rPr>
      <t xml:space="preserve"> – veiklos sąnaudų susijusių su išmokų, finansuojamų iš valstybės biudžeto, skyrimu ir mokėjimu, kompensavimo procentinis dydis;</t>
    </r>
  </si>
  <si>
    <r>
      <rPr>
        <sz val="12"/>
        <rFont val="Times New Roman"/>
        <family val="1"/>
        <charset val="186"/>
      </rPr>
      <t xml:space="preserve">T </t>
    </r>
    <r>
      <rPr>
        <vertAlign val="subscript"/>
        <sz val="12"/>
        <rFont val="Times New Roman"/>
        <family val="1"/>
        <charset val="186"/>
      </rPr>
      <t>pristatymo</t>
    </r>
    <r>
      <rPr>
        <b/>
        <sz val="12"/>
        <rFont val="Times New Roman"/>
        <family val="1"/>
        <charset val="186"/>
      </rPr>
      <t xml:space="preserve"> = </t>
    </r>
    <r>
      <rPr>
        <sz val="12"/>
        <rFont val="Times New Roman"/>
        <family val="1"/>
        <charset val="186"/>
      </rPr>
      <t>0,2 proc.</t>
    </r>
  </si>
  <si>
    <r>
      <t xml:space="preserve">T = 1,2 + 0,2 = </t>
    </r>
    <r>
      <rPr>
        <b/>
        <sz val="12"/>
        <rFont val="Times New Roman"/>
        <family val="1"/>
        <charset val="186"/>
      </rPr>
      <t>1,4 proc.</t>
    </r>
  </si>
  <si>
    <r>
      <t>T</t>
    </r>
    <r>
      <rPr>
        <vertAlign val="subscript"/>
        <sz val="10"/>
        <rFont val="Times New Roman"/>
        <family val="1"/>
        <charset val="186"/>
      </rPr>
      <t>sveikat.</t>
    </r>
    <r>
      <rPr>
        <sz val="10"/>
        <rFont val="Times New Roman"/>
        <family val="1"/>
        <charset val="186"/>
      </rPr>
      <t xml:space="preserve"> - procentinis dydis, Fondo administravimo įstaigų veiklos sąnaudų kompensavimui už sveikatos draudimo įmokų surinkimą ir pervedimą į Privalomajį sveikatos draudimo fondą (proc.).</t>
    </r>
  </si>
  <si>
    <r>
      <t>T</t>
    </r>
    <r>
      <rPr>
        <vertAlign val="subscript"/>
        <sz val="10"/>
        <rFont val="Times New Roman"/>
        <family val="1"/>
        <charset val="186"/>
      </rPr>
      <t>G</t>
    </r>
    <r>
      <rPr>
        <sz val="10"/>
        <rFont val="Times New Roman"/>
        <family val="1"/>
        <charset val="186"/>
      </rPr>
      <t xml:space="preserve"> - procentinis dydis, Fondo administravimo įstaigų veiklos sąnaudų kompensavimui už įmokų surinkimą ir pervedimą į Garantinį fondą (proc.).</t>
    </r>
  </si>
  <si>
    <r>
      <t>T</t>
    </r>
    <r>
      <rPr>
        <vertAlign val="subscript"/>
        <sz val="10"/>
        <rFont val="Times New Roman"/>
        <family val="1"/>
        <charset val="186"/>
      </rPr>
      <t>Ilg</t>
    </r>
    <r>
      <rPr>
        <sz val="10"/>
        <rFont val="Times New Roman"/>
        <family val="1"/>
        <charset val="186"/>
      </rPr>
      <t xml:space="preserve"> - procentinis dydis, Fondo administravimo įstaigų veiklos sąnaudų kompensavimui už įmokų surinkimą ir pervedimą į Ilgalaikio darbo išmokų fondą (proc.).</t>
    </r>
  </si>
  <si>
    <r>
      <t>T</t>
    </r>
    <r>
      <rPr>
        <vertAlign val="subscript"/>
        <sz val="10"/>
        <rFont val="Times New Roman"/>
        <family val="1"/>
        <charset val="186"/>
      </rPr>
      <t>PDL</t>
    </r>
    <r>
      <rPr>
        <sz val="10"/>
        <rFont val="Times New Roman"/>
        <family val="1"/>
        <charset val="186"/>
      </rPr>
      <t xml:space="preserve"> - procentinis dydis, Fondo administravimo įstaigų veiklos sąnaudų kompensavimui už dalyvio lėšomis mokamų įmokų į pensijų fondus administravimą (proc.).</t>
    </r>
  </si>
  <si>
    <r>
      <t>T</t>
    </r>
    <r>
      <rPr>
        <vertAlign val="subscript"/>
        <sz val="10"/>
        <rFont val="Times New Roman"/>
        <family val="1"/>
        <charset val="186"/>
      </rPr>
      <t>PVB</t>
    </r>
    <r>
      <rPr>
        <sz val="10"/>
        <rFont val="Times New Roman"/>
        <family val="1"/>
        <charset val="186"/>
      </rPr>
      <t xml:space="preserve"> - procentinis dydis, Fondo administravimo įstaigų veiklos sąnaudų kompensavimui už iš valstybės biudžeto už pensijų kaupimo dalyvį mokamų įmokų į pensijų fondus administravimą (proc.).</t>
    </r>
  </si>
  <si>
    <t>Vidutinis gavėjų skaičius</t>
  </si>
  <si>
    <t>Vidutinė išmoka</t>
  </si>
  <si>
    <t>Valstybinio socialinio draudimo bazinė pensija</t>
  </si>
  <si>
    <t>Vidutinė metinė pagrindinė pensijos dalis</t>
  </si>
  <si>
    <t>Draudžiamosios pajamos</t>
  </si>
  <si>
    <t>Pensijų indeksavimo koeficientas</t>
  </si>
  <si>
    <t>Mokamų pensijų skaičius</t>
  </si>
  <si>
    <t xml:space="preserve">Vidutinės senatvės pensijos, turint būtinąjį </t>
  </si>
  <si>
    <t>stažą, santykis su vid. mėn. apdraustųjų pajamomis</t>
  </si>
  <si>
    <t>nuo kurių skaičiuojamos VSD įmokos</t>
  </si>
  <si>
    <t>dydžio, socialinio draudimo našlių pensijos bazinio dydžio, pensijų apskaitos</t>
  </si>
  <si>
    <t xml:space="preserve"> vieneto dydžio skaičiavimai</t>
  </si>
  <si>
    <t xml:space="preserve">Nuo 2019 m. sausio 1 d. bendroji socialinio draudimo pensijų dalis yra finansuojama iš Lietuvos Respublikos valstybės biudžeto lėšų. </t>
  </si>
  <si>
    <t xml:space="preserve">1.8.  Europos Sąjungos institucijų pensijų sistemoje įgytos pensinės teisės </t>
  </si>
  <si>
    <t>1.9.Iš pensijų fondų grąžintos lėšos</t>
  </si>
  <si>
    <t>Bazinės pensijos indeksavimo koeficientas</t>
  </si>
  <si>
    <t>2019 m. ataskaita</t>
  </si>
  <si>
    <t>2020 m. laukiama</t>
  </si>
  <si>
    <t>2021 m. projektas</t>
  </si>
  <si>
    <t>2023 m. prognozė</t>
  </si>
  <si>
    <t>Lietuvos Respublikos valstybinio socialinio draudimo fondo biudžeto 2021 m.</t>
  </si>
  <si>
    <t xml:space="preserve">2.3.1.2.2. Vaiko priežiūros išmokoms už vaiką nuo </t>
  </si>
  <si>
    <t xml:space="preserve">              vienų iki dvejų metų </t>
  </si>
  <si>
    <t xml:space="preserve">2023 m. </t>
  </si>
  <si>
    <t xml:space="preserve">   Draudėjams, pas kuriuos per pastaruosius tris kalendorinius metus įvyko mažiau mirtinų ir sunkių nelaimingų atsitikimų darbe, pripažintų draudiminiais įvykiais, nelaimingų atsitikimų darbe ir profesinių ligų socialinio draudimo įmokos tarifas bus  0,47 proc.  Jie bus priskirti antrajai įmokos tarifo grupei.                                                                                                                                                                                                      </t>
  </si>
  <si>
    <t xml:space="preserve">   Valstybinei darbo inspekcijai pateikus informaciją apie laikotarpiu nuo 2019.11.01 iki 2020.11.01 nustatytus darbuotojų saugos ir sveikatos teisės aktų pažeidimus, dėl kurių buvo sustabdyti darbai, draudėjai bus priskiriami atitinkamai aukštesnei - antrajai, trečiajai ar ketvirtajai- nelaimingų atsitikimų darbe ir profesinių ligų įmokos tarifo grupei. Ketvirtosios įmokos tarifo grupės tarifo dydis bus 1,4 proc.</t>
  </si>
  <si>
    <t>Valstybinio socialinio draudimo fondo administravimo įstaigų veiklos sąnaudų, susijusių su išmokų, finansuojamų iš valstybės biudžeto, skyrimo, mokėjimo ir pristatymo, kompensavimo dydžio apskaičiavimas 2021 metams</t>
  </si>
  <si>
    <t xml:space="preserve"> Planuojamos vidutinės veiklos sąnaudos, tenkančios vienai pareigybei Fondo administravimo įstaigose 2021 metais:</t>
  </si>
  <si>
    <r>
      <t>PV</t>
    </r>
    <r>
      <rPr>
        <vertAlign val="subscript"/>
        <sz val="12"/>
        <color theme="1"/>
        <rFont val="Times New Roman"/>
        <family val="1"/>
        <charset val="186"/>
      </rPr>
      <t>B</t>
    </r>
    <r>
      <rPr>
        <sz val="12"/>
        <color theme="1"/>
        <rFont val="Times New Roman"/>
        <family val="1"/>
        <charset val="186"/>
      </rPr>
      <t xml:space="preserve"> = (94750,0 – 7100,0 – 2700,0)/ 3324 = 25,56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</si>
  <si>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2021 m. (tūkst. Eur)</t>
    </r>
  </si>
  <si>
    <t>VS – planuojamos Fondo veiklos sąnaudos 2021 m. (94 750,0 tūkst. Eur)</t>
  </si>
  <si>
    <t>PAM – planuojamos palūkanos, paskolų administravimo mokesčiai 2021 m. (2 700,0 tūkst. Eur)</t>
  </si>
  <si>
    <t>IM – planuojamos išmokų mokėjimo sąnaudos 2021 m. (7 100,0 tūkst. Eur)</t>
  </si>
  <si>
    <r>
      <t>PSK</t>
    </r>
    <r>
      <rPr>
        <vertAlign val="subscript"/>
        <sz val="10"/>
        <rFont val="Times New Roman"/>
        <family val="1"/>
        <charset val="186"/>
      </rPr>
      <t>B</t>
    </r>
    <r>
      <rPr>
        <sz val="10"/>
        <rFont val="Times New Roman"/>
        <family val="1"/>
        <charset val="186"/>
      </rPr>
      <t xml:space="preserve"> – planuojamas bendras pareigybių skaičius Fondo administravimo įstaigose 2021 m. (3324,0 pareigybės)</t>
    </r>
  </si>
  <si>
    <t xml:space="preserve"> Planuojamos Fondo administravimo įstaigų veiklos sąnaudos susijusios su išmokų, finansuojamų iš valstybės biudžeto, skyrimu ir mokėjimu,  2021 m.: </t>
  </si>
  <si>
    <r>
      <t xml:space="preserve">VS </t>
    </r>
    <r>
      <rPr>
        <vertAlign val="subscript"/>
        <sz val="12"/>
        <color theme="1"/>
        <rFont val="Times New Roman"/>
        <family val="1"/>
        <charset val="186"/>
      </rPr>
      <t>skyrimo ir mokėjimo</t>
    </r>
    <r>
      <rPr>
        <sz val="12"/>
        <color theme="1"/>
        <rFont val="Times New Roman"/>
        <family val="1"/>
        <charset val="186"/>
      </rPr>
      <t xml:space="preserve"> = 25,56</t>
    </r>
    <r>
      <rPr>
        <vertAlign val="subscript"/>
        <sz val="12"/>
        <color theme="1"/>
        <rFont val="Times New Roman"/>
        <family val="1"/>
        <charset val="186"/>
      </rPr>
      <t xml:space="preserve"> </t>
    </r>
    <r>
      <rPr>
        <sz val="12"/>
        <color theme="1"/>
        <rFont val="Times New Roman"/>
        <family val="1"/>
        <charset val="186"/>
      </rPr>
      <t>× 174</t>
    </r>
    <r>
      <rPr>
        <vertAlign val="subscript"/>
        <sz val="12"/>
        <color theme="1"/>
        <rFont val="Times New Roman"/>
        <family val="1"/>
        <charset val="186"/>
      </rPr>
      <t xml:space="preserve"> </t>
    </r>
    <r>
      <rPr>
        <sz val="12"/>
        <color theme="1"/>
        <rFont val="Times New Roman"/>
        <family val="1"/>
        <charset val="186"/>
      </rPr>
      <t>= 4447,0 tūkst. Eur</t>
    </r>
  </si>
  <si>
    <r>
      <t xml:space="preserve">VS </t>
    </r>
    <r>
      <rPr>
        <vertAlign val="subscript"/>
        <sz val="10"/>
        <rFont val="Times New Roman"/>
        <family val="1"/>
        <charset val="186"/>
      </rPr>
      <t>skyrimo ir mokėjimo</t>
    </r>
    <r>
      <rPr>
        <sz val="10"/>
        <rFont val="Times New Roman"/>
        <family val="1"/>
        <charset val="186"/>
      </rPr>
      <t xml:space="preserve"> – planuojamos Fondo administravimo įstaigų veiklos sąnaudos susijusios su išmokų, finansuojamų iš valstybės biudžeto, skyrimu ir mokėjimu 2021 m. (tūkst. Eur)</t>
    </r>
  </si>
  <si>
    <r>
      <t>PV</t>
    </r>
    <r>
      <rPr>
        <vertAlign val="subscript"/>
        <sz val="10"/>
        <rFont val="Times New Roman"/>
        <family val="1"/>
        <charset val="186"/>
      </rPr>
      <t xml:space="preserve">B - </t>
    </r>
    <r>
      <rPr>
        <sz val="10"/>
        <rFont val="Times New Roman"/>
        <family val="1"/>
        <charset val="186"/>
      </rPr>
      <t>planuojamos vidutinės veiklos sąnaudos, tenkančios vienai pareigybei, 2021 m. (25,56 tūkst. Eur)</t>
    </r>
  </si>
  <si>
    <r>
      <t>PSK</t>
    </r>
    <r>
      <rPr>
        <vertAlign val="subscript"/>
        <sz val="10"/>
        <color theme="1"/>
        <rFont val="Times New Roman"/>
        <family val="1"/>
        <charset val="186"/>
      </rPr>
      <t>vb</t>
    </r>
    <r>
      <rPr>
        <sz val="10"/>
        <color theme="1"/>
        <rFont val="Times New (W1)"/>
        <family val="1"/>
      </rPr>
      <t xml:space="preserve"> – planuojamas pareigybių skaičius Fondo administravimo įstaigose išmokų, finansuojamų iš valstybės biudžeto, skyrimui ir mokėjimui 2021 metais (174 pareigybės);</t>
    </r>
  </si>
  <si>
    <t>Veiklos sąnaudų susijusių su išmokų, finansuojamų iš valstybės biudžeto, skyrimu ir mokėjimu, kompensavimo procentinis dydis 2021 metais:</t>
  </si>
  <si>
    <r>
      <t xml:space="preserve">VS </t>
    </r>
    <r>
      <rPr>
        <vertAlign val="subscript"/>
        <sz val="10"/>
        <color theme="1"/>
        <rFont val="Times New Roman"/>
        <family val="1"/>
        <charset val="186"/>
      </rPr>
      <t>skyrimo ir mokėjimo</t>
    </r>
    <r>
      <rPr>
        <sz val="10"/>
        <color theme="1"/>
        <rFont val="Times New Roman"/>
        <family val="1"/>
        <charset val="186"/>
      </rPr>
      <t xml:space="preserve"> – planuojamos Fondo administravimo įstaigų veiklos sąnaudos susijusios su išmokų, finansuojamų iš valstybės biudžeto, skyrimu ir mokėjimu 2021 m. ( 4447,0 tūkst. Eur)</t>
    </r>
  </si>
  <si>
    <r>
      <t xml:space="preserve">2021 metų veiklos sąnaudų susijusių su išmokų, finansuojamų iš valstybės biudžeto, pristatymu, kompensavimo procentinis dydis (T </t>
    </r>
    <r>
      <rPr>
        <vertAlign val="subscript"/>
        <sz val="10"/>
        <rFont val="Times New Roman"/>
        <family val="1"/>
        <charset val="186"/>
      </rPr>
      <t>pristatymo)</t>
    </r>
    <r>
      <rPr>
        <sz val="10"/>
        <rFont val="Times New Roman"/>
        <family val="1"/>
        <charset val="186"/>
      </rPr>
      <t xml:space="preserve"> , numatomas įvertinus paskutinius turimus ataskaitinio laikotarpio duomenis bei naujai pasirašytų sutarčių su išmokų pristatymo įstaigomis įtaką. (2020 m. I pusm. šis tarifas, buvo 0,2 proc.). Planuojama, kad 2021 metų pristatymo tarifas bus 0,2 proc.</t>
    </r>
  </si>
  <si>
    <t>Veiklos sąnaudų susijusių su išmokų, finansuojamų iš valstybės biudžeto, skyrimu, mokėjimu ir pristatymu, kompensavimo procentinis dydis 2021 metais:</t>
  </si>
  <si>
    <r>
      <t xml:space="preserve">T </t>
    </r>
    <r>
      <rPr>
        <vertAlign val="subscript"/>
        <sz val="10"/>
        <rFont val="Times New Roman"/>
        <family val="1"/>
        <charset val="186"/>
      </rPr>
      <t>skyrimo ir mokėjimo</t>
    </r>
    <r>
      <rPr>
        <sz val="10"/>
        <rFont val="Times New Roman"/>
        <family val="1"/>
        <charset val="186"/>
      </rPr>
      <t xml:space="preserve"> – veiklos sąnaudų susijusių su išmokų, finansuojamų iš valstybės biudžeto, skyrimu ir mokėjimu, kompensavimo procentinis dydis 2021 m. (1,2 proc.);</t>
    </r>
  </si>
  <si>
    <r>
      <t>T</t>
    </r>
    <r>
      <rPr>
        <vertAlign val="subscript"/>
        <sz val="10"/>
        <rFont val="Times New Roman"/>
        <family val="1"/>
        <charset val="186"/>
      </rPr>
      <t xml:space="preserve"> pristatymo</t>
    </r>
    <r>
      <rPr>
        <sz val="10"/>
        <rFont val="Times New Roman"/>
        <family val="1"/>
        <charset val="186"/>
      </rPr>
      <t xml:space="preserve"> – veiklos sąnaudų susijusių su išmokų, finansuojamų iš valstybės biudžeto, pristatymo kompensavimo procentinis dydis 2021 m. (0,2 proc.).</t>
    </r>
  </si>
  <si>
    <t>Valstybinio socialinio draudimo fondo administravimo įstaigų veiklos sąnaudų, patiriamų surenkant ir pervedant įmokas į fondus, kompensavimo dydžio apskaičiavimas 2021 metams</t>
  </si>
  <si>
    <t>Veiklos sąnaudos, patiriamos surenkant ir pervedant sveikatos draudimo įmokas į Privalomąjį sveikatos draudimo fondą 2021 m.:</t>
  </si>
  <si>
    <r>
      <t>VS</t>
    </r>
    <r>
      <rPr>
        <vertAlign val="subscript"/>
        <sz val="12"/>
        <rFont val="Times New Roman"/>
        <family val="1"/>
        <charset val="186"/>
      </rPr>
      <t>sveikat.</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×79 = 2019 tūkst. Eur </t>
    </r>
  </si>
  <si>
    <r>
      <t>VS</t>
    </r>
    <r>
      <rPr>
        <vertAlign val="subscript"/>
        <sz val="10"/>
        <rFont val="Times New Roman"/>
        <family val="1"/>
        <charset val="186"/>
      </rPr>
      <t>svaikat.</t>
    </r>
    <r>
      <rPr>
        <sz val="10"/>
        <rFont val="Times New Roman"/>
        <family val="1"/>
        <charset val="186"/>
      </rPr>
      <t>- veiklos sąnaudos, patiriamos surenkant ir pervedant sveikatos draudimo įmokas į Privalomąjį sveikatos draudimo fondą 2021 m. (tūkst. Eur).</t>
    </r>
  </si>
  <si>
    <r>
      <t>PV</t>
    </r>
    <r>
      <rPr>
        <vertAlign val="subscript"/>
        <sz val="10"/>
        <rFont val="Times New Roman"/>
        <family val="1"/>
        <charset val="186"/>
      </rPr>
      <t>B</t>
    </r>
    <r>
      <rPr>
        <sz val="10"/>
        <rFont val="Times New Roman"/>
        <family val="1"/>
        <charset val="186"/>
      </rPr>
      <t xml:space="preserve"> - planuojamos vidutinės veiklos sąnaudos, tenkančios vienai pareigybei, 2021 m. ( 25,56 tūkst. Eur)</t>
    </r>
  </si>
  <si>
    <r>
      <t>PSK</t>
    </r>
    <r>
      <rPr>
        <vertAlign val="subscript"/>
        <sz val="10"/>
        <rFont val="Times New Roman"/>
        <family val="1"/>
        <charset val="186"/>
      </rPr>
      <t>svaikat.</t>
    </r>
    <r>
      <rPr>
        <sz val="10"/>
        <rFont val="Times New Roman"/>
        <family val="1"/>
        <charset val="186"/>
      </rPr>
      <t xml:space="preserve"> – planuojamas pareigybių, susijusių su įmokų į Privalomajį sveikatos draudimo fondą surinkimu ir pervedimu, skaičius 2021 m. (79 pareigybės)</t>
    </r>
  </si>
  <si>
    <r>
      <t>Veiklos sąnaudų, patiriamų surenkant ir pervedant sveikatos draudimo įmokas į Privalomąjį sveikatos draudimo fondą, kompensavimo procentinis dydis (T</t>
    </r>
    <r>
      <rPr>
        <vertAlign val="subscript"/>
        <sz val="10"/>
        <rFont val="Times New Roman"/>
        <family val="1"/>
        <charset val="186"/>
      </rPr>
      <t>sveikat.</t>
    </r>
    <r>
      <rPr>
        <sz val="10"/>
        <rFont val="Times New Roman"/>
        <family val="1"/>
        <charset val="186"/>
      </rPr>
      <t>) 2021 m.:</t>
    </r>
  </si>
  <si>
    <r>
      <t>VS</t>
    </r>
    <r>
      <rPr>
        <vertAlign val="subscript"/>
        <sz val="10"/>
        <rFont val="Times New Roman"/>
        <family val="1"/>
        <charset val="186"/>
      </rPr>
      <t>sveikat.</t>
    </r>
    <r>
      <rPr>
        <sz val="10"/>
        <rFont val="Times New Roman"/>
        <family val="1"/>
        <charset val="186"/>
      </rPr>
      <t>- veiklos sąnaudos, patiriamos surenkant ir pervedant sveikatos draudimo įmokas į Privalomąjį sveikatos draudimo fondą 2021 m. (2019 tūkst. Eur).</t>
    </r>
  </si>
  <si>
    <t>Veiklos sąnaudos, patiriamos surenkant ir pervedant įmokas į Garantinį fondą 2021 m.:</t>
  </si>
  <si>
    <r>
      <t>VS</t>
    </r>
    <r>
      <rPr>
        <vertAlign val="subscript"/>
        <sz val="12"/>
        <rFont val="Times New Roman"/>
        <family val="1"/>
        <charset val="186"/>
      </rPr>
      <t>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3,1 = 79,0 tūkst. Eur </t>
    </r>
  </si>
  <si>
    <r>
      <t>VS</t>
    </r>
    <r>
      <rPr>
        <vertAlign val="subscript"/>
        <sz val="10"/>
        <rFont val="Times New Roman"/>
        <family val="1"/>
        <charset val="186"/>
      </rPr>
      <t>G</t>
    </r>
    <r>
      <rPr>
        <sz val="10"/>
        <rFont val="Times New Roman"/>
        <family val="1"/>
        <charset val="186"/>
      </rPr>
      <t>- veiklos sąnaudos, patiriamos surenkant ir pervedant įmokas į Garantinį fondą 2021 m. (tūkst. Eur).</t>
    </r>
  </si>
  <si>
    <r>
      <t>PSK</t>
    </r>
    <r>
      <rPr>
        <vertAlign val="subscript"/>
        <sz val="10"/>
        <rFont val="Times New Roman"/>
        <family val="1"/>
        <charset val="186"/>
      </rPr>
      <t>G</t>
    </r>
    <r>
      <rPr>
        <sz val="10"/>
        <rFont val="Times New Roman"/>
        <family val="1"/>
        <charset val="186"/>
      </rPr>
      <t xml:space="preserve"> – planuojamas pareigybių, susijusių su įmokų į Garantinį fondą surinkimu ir pervedimu, skaičius 2021 m. (3,1 pareigybės)</t>
    </r>
  </si>
  <si>
    <r>
      <t>Veiklos sąnaudų, patiriamų surenkant ir pervedant įmokas į Garantinį fondą, kompensavimo procentinis dydis (T</t>
    </r>
    <r>
      <rPr>
        <vertAlign val="subscript"/>
        <sz val="10"/>
        <rFont val="Times New Roman"/>
        <family val="1"/>
        <charset val="186"/>
      </rPr>
      <t>G</t>
    </r>
    <r>
      <rPr>
        <sz val="10"/>
        <rFont val="Times New Roman"/>
        <family val="1"/>
        <charset val="186"/>
      </rPr>
      <t>) 2021 m.:</t>
    </r>
  </si>
  <si>
    <r>
      <t>T</t>
    </r>
    <r>
      <rPr>
        <vertAlign val="subscript"/>
        <sz val="12"/>
        <rFont val="Times New Roman"/>
        <family val="1"/>
        <charset val="186"/>
      </rPr>
      <t>G</t>
    </r>
    <r>
      <rPr>
        <sz val="12"/>
        <rFont val="Times New Roman"/>
        <family val="1"/>
        <charset val="186"/>
      </rPr>
      <t xml:space="preserve"> = 79/25627 × 100 =</t>
    </r>
    <r>
      <rPr>
        <b/>
        <sz val="12"/>
        <rFont val="Times New Roman"/>
        <family val="1"/>
        <charset val="186"/>
      </rPr>
      <t xml:space="preserve"> 0,31 proc. </t>
    </r>
  </si>
  <si>
    <r>
      <t>VS</t>
    </r>
    <r>
      <rPr>
        <vertAlign val="subscript"/>
        <sz val="10"/>
        <rFont val="Times New Roman"/>
        <family val="1"/>
        <charset val="186"/>
      </rPr>
      <t>G</t>
    </r>
    <r>
      <rPr>
        <sz val="10"/>
        <rFont val="Times New Roman"/>
        <family val="1"/>
        <charset val="186"/>
      </rPr>
      <t>- veiklos sąnaudos, patiriamos surenkant ir pervedant įmokas į Garantinį fondą 2021 m. (79,0 tūkst. Eur).</t>
    </r>
  </si>
  <si>
    <r>
      <t xml:space="preserve">SUM </t>
    </r>
    <r>
      <rPr>
        <vertAlign val="subscript"/>
        <sz val="10"/>
        <rFont val="Times New Roman"/>
        <family val="1"/>
        <charset val="186"/>
      </rPr>
      <t>G</t>
    </r>
    <r>
      <rPr>
        <sz val="10"/>
        <rFont val="Times New Roman"/>
        <family val="1"/>
        <charset val="186"/>
      </rPr>
      <t xml:space="preserve"> – planuojamos darbdavių įmokos į Garantinį fondą 2021 metais (25 627,0  tūkst. Eur);</t>
    </r>
  </si>
  <si>
    <t>Veiklos sąnaudos, patiriamos surenkant ir pervedant įmokas į Ilgalaikio darbo išmokų fondą 2021 m.:</t>
  </si>
  <si>
    <r>
      <t>VS</t>
    </r>
    <r>
      <rPr>
        <vertAlign val="subscript"/>
        <sz val="12"/>
        <rFont val="Times New Roman"/>
        <family val="1"/>
        <charset val="186"/>
      </rPr>
      <t>Ilg</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3,1 = 79,0 tūkst. Eur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</si>
  <si>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2021 m. (tūkst. Eur).</t>
    </r>
  </si>
  <si>
    <r>
      <t>PSK</t>
    </r>
    <r>
      <rPr>
        <vertAlign val="subscript"/>
        <sz val="10"/>
        <rFont val="Times New Roman"/>
        <family val="1"/>
        <charset val="186"/>
      </rPr>
      <t>Ilg</t>
    </r>
    <r>
      <rPr>
        <sz val="10"/>
        <rFont val="Times New Roman"/>
        <family val="1"/>
        <charset val="186"/>
      </rPr>
      <t xml:space="preserve"> – planuojamas pareigybių, susijusių su įmokų į Ilgalaikio darbo išmokų fondą surinkimu ir pervedimu, skaičius 2021 m. (3,1 pareigybės)</t>
    </r>
  </si>
  <si>
    <r>
      <t>Veiklos sąnaudų, patiriamų surenkant ir pervedant įmokas į Ilgalaikio darbo išmokų fondą, kompensavimo procentinis dydis (T</t>
    </r>
    <r>
      <rPr>
        <vertAlign val="subscript"/>
        <sz val="10"/>
        <rFont val="Times New Roman"/>
        <family val="1"/>
        <charset val="186"/>
      </rPr>
      <t>Ilg</t>
    </r>
    <r>
      <rPr>
        <sz val="10"/>
        <rFont val="Times New Roman"/>
        <family val="1"/>
        <charset val="186"/>
      </rPr>
      <t>) 2021 m.:</t>
    </r>
  </si>
  <si>
    <r>
      <t>T</t>
    </r>
    <r>
      <rPr>
        <vertAlign val="subscript"/>
        <sz val="12"/>
        <rFont val="Times New Roman"/>
        <family val="1"/>
        <charset val="186"/>
      </rPr>
      <t>Ilg</t>
    </r>
    <r>
      <rPr>
        <sz val="12"/>
        <rFont val="Times New Roman"/>
        <family val="1"/>
        <charset val="186"/>
      </rPr>
      <t xml:space="preserve"> = 79/25627 × 100 =</t>
    </r>
    <r>
      <rPr>
        <b/>
        <sz val="12"/>
        <rFont val="Times New Roman"/>
        <family val="1"/>
        <charset val="186"/>
      </rPr>
      <t xml:space="preserve"> 0,31 proc. </t>
    </r>
  </si>
  <si>
    <r>
      <t>VS</t>
    </r>
    <r>
      <rPr>
        <vertAlign val="subscript"/>
        <sz val="10"/>
        <rFont val="Times New Roman"/>
        <family val="1"/>
        <charset val="186"/>
      </rPr>
      <t>Ilg</t>
    </r>
    <r>
      <rPr>
        <sz val="10"/>
        <rFont val="Times New Roman"/>
        <family val="1"/>
        <charset val="186"/>
      </rPr>
      <t>- veiklos sąnaudos, patiriamos surenkant ir pervedant įmokas į Ilgalaikio darbo išmokų fondą 2021 m. (79,0 tūkst. Eur).</t>
    </r>
  </si>
  <si>
    <r>
      <t xml:space="preserve">SUM </t>
    </r>
    <r>
      <rPr>
        <vertAlign val="subscript"/>
        <sz val="10"/>
        <rFont val="Times New Roman"/>
        <family val="1"/>
        <charset val="186"/>
      </rPr>
      <t>Ilg</t>
    </r>
    <r>
      <rPr>
        <sz val="10"/>
        <rFont val="Times New Roman"/>
        <family val="1"/>
        <charset val="186"/>
      </rPr>
      <t xml:space="preserve"> – planuojamos darbdavių įmokos į Ilgalaikio darbo išmokų fondą 2021 metais (25 627,0  tūkst. Eur);</t>
    </r>
  </si>
  <si>
    <t>Veiklos sąnaudos, patiriamos surenkant ir pervedant dalyvio lėšomis mokamas įmokas į pensijų fondus 2021 m.:</t>
  </si>
  <si>
    <r>
      <t>VS</t>
    </r>
    <r>
      <rPr>
        <vertAlign val="subscript"/>
        <sz val="12"/>
        <rFont val="Times New Roman"/>
        <family val="1"/>
        <charset val="186"/>
      </rPr>
      <t>PDL</t>
    </r>
    <r>
      <rPr>
        <sz val="12"/>
        <rFont val="Times New Roman"/>
        <family val="1"/>
        <charset val="186"/>
      </rPr>
      <t xml:space="preserve"> =</t>
    </r>
    <r>
      <rPr>
        <vertAlign val="subscript"/>
        <sz val="12"/>
        <rFont val="Times New Roman"/>
        <family val="1"/>
        <charset val="186"/>
      </rPr>
      <t xml:space="preserve"> </t>
    </r>
    <r>
      <rPr>
        <sz val="12"/>
        <rFont val="Times New Roman"/>
        <family val="1"/>
        <charset val="186"/>
      </rPr>
      <t xml:space="preserve">25,56 × 16,7 = 427 tūkst. Eur </t>
    </r>
  </si>
  <si>
    <r>
      <t>VS</t>
    </r>
    <r>
      <rPr>
        <vertAlign val="subscript"/>
        <sz val="10"/>
        <rFont val="Times New Roman"/>
        <family val="1"/>
        <charset val="186"/>
      </rPr>
      <t>PDL</t>
    </r>
    <r>
      <rPr>
        <sz val="10"/>
        <rFont val="Times New Roman"/>
        <family val="1"/>
        <charset val="186"/>
      </rPr>
      <t>- veiklos sąnaudos, patiriamos pervedant dalyvio lėšomis mokamas įmokas į pensijų fondus 2021 m. (tūkst. Eur).</t>
    </r>
  </si>
  <si>
    <r>
      <t>PSK</t>
    </r>
    <r>
      <rPr>
        <vertAlign val="subscript"/>
        <sz val="10"/>
        <rFont val="Times New Roman"/>
        <family val="1"/>
        <charset val="186"/>
      </rPr>
      <t>PDL</t>
    </r>
    <r>
      <rPr>
        <sz val="10"/>
        <rFont val="Times New Roman"/>
        <family val="1"/>
        <charset val="186"/>
      </rPr>
      <t xml:space="preserve"> – planuojamas pareigybių, susijusių su dalyvio lėšomis mokamų įmokų surinkimu ir pervedimu į pensijų fondus, skaičius 2021 m. (16,7 pareigybių)</t>
    </r>
  </si>
  <si>
    <r>
      <t>Veiklos sąnaudų, patiriamų surenkant ir pervedant dalyvio lėšomis mokamas įmokas į pensijų fondus, kompensavimo procentinis dydis (T</t>
    </r>
    <r>
      <rPr>
        <vertAlign val="subscript"/>
        <sz val="10"/>
        <rFont val="Times New Roman"/>
        <family val="1"/>
        <charset val="186"/>
      </rPr>
      <t>PDL</t>
    </r>
    <r>
      <rPr>
        <sz val="10"/>
        <rFont val="Times New Roman"/>
        <family val="1"/>
        <charset val="186"/>
      </rPr>
      <t>) 2021 m.:</t>
    </r>
  </si>
  <si>
    <r>
      <t>T</t>
    </r>
    <r>
      <rPr>
        <vertAlign val="subscript"/>
        <sz val="12"/>
        <rFont val="Times New Roman"/>
        <family val="1"/>
        <charset val="186"/>
      </rPr>
      <t>PDL</t>
    </r>
    <r>
      <rPr>
        <sz val="12"/>
        <rFont val="Times New Roman"/>
        <family val="1"/>
        <charset val="186"/>
      </rPr>
      <t xml:space="preserve"> = 427/336100,8  × 100 =</t>
    </r>
    <r>
      <rPr>
        <b/>
        <sz val="12"/>
        <rFont val="Times New Roman"/>
        <family val="1"/>
        <charset val="186"/>
      </rPr>
      <t xml:space="preserve"> 0,13 proc. </t>
    </r>
  </si>
  <si>
    <r>
      <t>VS</t>
    </r>
    <r>
      <rPr>
        <vertAlign val="subscript"/>
        <sz val="10"/>
        <rFont val="Times New Roman"/>
        <family val="1"/>
        <charset val="186"/>
      </rPr>
      <t>PDL</t>
    </r>
    <r>
      <rPr>
        <sz val="10"/>
        <rFont val="Times New Roman"/>
        <family val="1"/>
        <charset val="186"/>
      </rPr>
      <t>- veiklos sąnaudos, patiriamos surenkant ir pervedant dalyvio lėšomis mokamas įmokas į pensijų fondus 2021 m. (427 tūkst. Eur).</t>
    </r>
  </si>
  <si>
    <r>
      <t xml:space="preserve">SUM </t>
    </r>
    <r>
      <rPr>
        <vertAlign val="subscript"/>
        <sz val="10"/>
        <rFont val="Times New Roman"/>
        <family val="1"/>
        <charset val="186"/>
      </rPr>
      <t>PDL</t>
    </r>
    <r>
      <rPr>
        <sz val="10"/>
        <rFont val="Times New Roman"/>
        <family val="1"/>
        <charset val="186"/>
      </rPr>
      <t xml:space="preserve"> – planuojama pervesti dalyvio lėšomis mokamų įmokų suma į pensijų fondus 2021 metais (336 100,8 tūkst. Eur);</t>
    </r>
  </si>
  <si>
    <t>Veiklos sąnaudos, patiriamos pervedant iš valstybės biudžeto už pensijų kaupimo dalyvį mokamas įmokas į pensijų fondus 2021 m.:</t>
  </si>
  <si>
    <r>
      <t>VS</t>
    </r>
    <r>
      <rPr>
        <vertAlign val="subscript"/>
        <sz val="12"/>
        <rFont val="Times New Roman"/>
        <family val="1"/>
        <charset val="186"/>
      </rPr>
      <t xml:space="preserve">PVB </t>
    </r>
    <r>
      <rPr>
        <sz val="12"/>
        <rFont val="Times New Roman"/>
        <family val="1"/>
        <charset val="186"/>
      </rPr>
      <t xml:space="preserve">= 25,56 × 5,3 = 135,0 tūkst. Eur </t>
    </r>
  </si>
  <si>
    <r>
      <t>VS</t>
    </r>
    <r>
      <rPr>
        <vertAlign val="subscript"/>
        <sz val="10"/>
        <rFont val="Times New Roman"/>
        <family val="1"/>
        <charset val="186"/>
      </rPr>
      <t>PVB</t>
    </r>
    <r>
      <rPr>
        <sz val="10"/>
        <rFont val="Times New Roman"/>
        <family val="1"/>
        <charset val="186"/>
      </rPr>
      <t>- veiklos sąnaudos, patiriamos pervedant iš valstybės biudžeto už pensijų kaupimo dalyvį mokamas įmokas į pensijų fondus 2021 m. (tūkst. Eur).</t>
    </r>
  </si>
  <si>
    <r>
      <t>PSK</t>
    </r>
    <r>
      <rPr>
        <vertAlign val="subscript"/>
        <sz val="10"/>
        <rFont val="Times New Roman"/>
        <family val="1"/>
        <charset val="186"/>
      </rPr>
      <t>PVB</t>
    </r>
    <r>
      <rPr>
        <sz val="10"/>
        <rFont val="Times New Roman"/>
        <family val="1"/>
        <charset val="186"/>
      </rPr>
      <t xml:space="preserve"> – planuojamas pareigybių, susijusių su iš valstybės biudžeto už pensijų kaupimo dalyvį mokamų įmokų pervedimu į pensijų fondus, skaičius 2021 m. (5,3 pareigybės)</t>
    </r>
  </si>
  <si>
    <r>
      <t>Veiklos sąnaudų, patiriamų pervedant iš valstybės biudžeto už pensijų kaupimo dalyvį mokamas įmokas į pensijų fondus, kompensavimo procentinis dydis (T</t>
    </r>
    <r>
      <rPr>
        <vertAlign val="subscript"/>
        <sz val="10"/>
        <rFont val="Times New Roman"/>
        <family val="1"/>
        <charset val="186"/>
      </rPr>
      <t>PVB</t>
    </r>
    <r>
      <rPr>
        <sz val="10"/>
        <rFont val="Times New Roman"/>
        <family val="1"/>
        <charset val="186"/>
      </rPr>
      <t>) 2021 m.:</t>
    </r>
  </si>
  <si>
    <r>
      <t>T</t>
    </r>
    <r>
      <rPr>
        <vertAlign val="subscript"/>
        <sz val="12"/>
        <rFont val="Times New Roman"/>
        <family val="1"/>
        <charset val="186"/>
      </rPr>
      <t>PVB</t>
    </r>
    <r>
      <rPr>
        <sz val="12"/>
        <rFont val="Times New Roman"/>
        <family val="1"/>
        <charset val="186"/>
      </rPr>
      <t xml:space="preserve"> = 135/158997  × 100 = </t>
    </r>
    <r>
      <rPr>
        <b/>
        <sz val="12"/>
        <rFont val="Times New Roman"/>
        <family val="1"/>
        <charset val="186"/>
      </rPr>
      <t xml:space="preserve">0,09  proc. </t>
    </r>
  </si>
  <si>
    <r>
      <t>VS</t>
    </r>
    <r>
      <rPr>
        <vertAlign val="subscript"/>
        <sz val="10"/>
        <rFont val="Times New Roman"/>
        <family val="1"/>
        <charset val="186"/>
      </rPr>
      <t>PVB</t>
    </r>
    <r>
      <rPr>
        <sz val="10"/>
        <rFont val="Times New Roman"/>
        <family val="1"/>
        <charset val="186"/>
      </rPr>
      <t>- veiklos sąnaudos, susijusios su iš valstybės biudžeto už pensijų kaupimo dalyvį mokamų įmokų administravimu 2021 m. (135,0 tūkst. Eur).</t>
    </r>
  </si>
  <si>
    <r>
      <t xml:space="preserve">SUM </t>
    </r>
    <r>
      <rPr>
        <vertAlign val="subscript"/>
        <sz val="10"/>
        <rFont val="Times New Roman"/>
        <family val="1"/>
        <charset val="186"/>
      </rPr>
      <t>PVB</t>
    </r>
    <r>
      <rPr>
        <sz val="10"/>
        <rFont val="Times New Roman"/>
        <family val="1"/>
        <charset val="186"/>
      </rPr>
      <t xml:space="preserve"> – planuojama pervesti iš valstybės biudžeto už pensijų kaupimo dalyvį mokamų įmokų suma į pensijų fondus 2021 metais (158 997 tūkst. Eur);</t>
    </r>
  </si>
  <si>
    <t>Vidutinis šalies darbo užmokestis, taikomas apdraustųjų asmenų 2021 m. valstybinio socialinio draudimo įmokų bazei skaičiuoti</t>
  </si>
  <si>
    <t>2019 m. III ketv. - 1306,3 Eur,</t>
  </si>
  <si>
    <t>2019 m. IV ketv. - 1346,7 Eur,</t>
  </si>
  <si>
    <t>2020 m. I ketv. - 1370,2 Eur,</t>
  </si>
  <si>
    <t>2020 m. II ketv. - 1387,6 Eur.</t>
  </si>
  <si>
    <t>Vidutinis šalies darbo užmokestis, taikomas apdraustųjų asmenų 2021 m. valstybinio socialinio draudimo įmokų bazei skaičiuoti:</t>
  </si>
  <si>
    <t>(1306,3 + 1346,7 + 1370,2 + 1387,6)/4  = 1352,7 Eur</t>
  </si>
  <si>
    <t xml:space="preserve">Turimais 2020 metų finansiniais duomenimis bendroji pensijų dalis sudaro apie 55,43 proc. visų socialinio draudimo pensijų išlaidų.  Planuojama, kad ši dalis 2021-2023 metais nekis ir bendroji pensijų dalis sudarys 55,43 proc. visų socialinio draudimo pensijų išlaidų. </t>
  </si>
  <si>
    <t>Prognozuojama, kad bendrosios socialinio draudimo pensijų  dalies suma 2021 metais bus 2 066 555 tūkst. Eur.</t>
  </si>
  <si>
    <t>2021 metų pensijų indeksavimo koeficiento, socialinio draudimo bazinės pensijos</t>
  </si>
  <si>
    <r>
      <t>1.</t>
    </r>
    <r>
      <rPr>
        <sz val="7"/>
        <color theme="1"/>
        <rFont val="Times New Roman"/>
        <family val="1"/>
        <charset val="186"/>
      </rPr>
      <t>   </t>
    </r>
    <r>
      <rPr>
        <sz val="12"/>
        <color theme="1"/>
        <rFont val="Times New Roman"/>
        <family val="1"/>
        <charset val="186"/>
      </rPr>
      <t>2021 metų indeksavimo koeficientas (toliau - IK) apskaičiuojamas pagal formulę IK</t>
    </r>
    <r>
      <rPr>
        <vertAlign val="subscript"/>
        <sz val="12"/>
        <color theme="1"/>
        <rFont val="Times New Roman"/>
        <family val="1"/>
        <charset val="186"/>
      </rPr>
      <t>2021</t>
    </r>
    <r>
      <rPr>
        <sz val="12"/>
        <color theme="1"/>
        <rFont val="Times New Roman"/>
        <family val="1"/>
        <charset val="186"/>
      </rPr>
      <t>=1+λ</t>
    </r>
    <r>
      <rPr>
        <vertAlign val="subscript"/>
        <sz val="12"/>
        <color theme="1"/>
        <rFont val="Times New Roman"/>
        <family val="1"/>
        <charset val="186"/>
      </rPr>
      <t xml:space="preserve">2021, </t>
    </r>
    <r>
      <rPr>
        <sz val="12"/>
        <color theme="1"/>
        <rFont val="Times New Roman"/>
        <family val="1"/>
        <charset val="186"/>
      </rPr>
      <t>kur</t>
    </r>
    <r>
      <rPr>
        <vertAlign val="subscript"/>
        <sz val="12"/>
        <color theme="1"/>
        <rFont val="Times New Roman"/>
        <family val="1"/>
        <charset val="186"/>
      </rPr>
      <t xml:space="preserve"> </t>
    </r>
    <r>
      <rPr>
        <sz val="12"/>
        <color theme="1"/>
        <rFont val="Times New Roman"/>
        <family val="1"/>
        <charset val="186"/>
      </rPr>
      <t xml:space="preserve"> λ</t>
    </r>
    <r>
      <rPr>
        <vertAlign val="subscript"/>
        <sz val="12"/>
        <color theme="1"/>
        <rFont val="Times New Roman"/>
        <family val="1"/>
        <charset val="186"/>
      </rPr>
      <t>2021</t>
    </r>
    <r>
      <rPr>
        <sz val="12"/>
        <color theme="1"/>
        <rFont val="Times New Roman"/>
        <family val="1"/>
        <charset val="186"/>
      </rPr>
      <t xml:space="preserve"> yra 7 metų darbo užmokesčio fondo pokyčių vidurkis apskaičiuojamas pagal formulę :</t>
    </r>
  </si>
  <si>
    <t>2019 m. – 17 216 855,2 tūkst. Eur;</t>
  </si>
  <si>
    <t>2020 m. – 18 034,7 mln. Eur;</t>
  </si>
  <si>
    <t>2021 m. – 18 913,5 mln. Eur.</t>
  </si>
  <si>
    <t>2022 m. – 19 813,6 mln. Eur.</t>
  </si>
  <si>
    <t>2023 m. – 20 723,1 mln. Eur.</t>
  </si>
  <si>
    <t>2021 m.</t>
  </si>
  <si>
    <r>
      <t>DUF</t>
    </r>
    <r>
      <rPr>
        <vertAlign val="subscript"/>
        <sz val="12"/>
        <color theme="1"/>
        <rFont val="Times New Roman"/>
        <family val="1"/>
        <charset val="186"/>
      </rPr>
      <t xml:space="preserve">2019 </t>
    </r>
    <r>
      <rPr>
        <sz val="12"/>
        <color theme="1"/>
        <rFont val="Times New Roman"/>
        <family val="1"/>
        <charset val="186"/>
      </rPr>
      <t>/( DUF</t>
    </r>
    <r>
      <rPr>
        <vertAlign val="subscript"/>
        <sz val="12"/>
        <color theme="1"/>
        <rFont val="Times New Roman"/>
        <family val="1"/>
        <charset val="186"/>
      </rPr>
      <t>2018</t>
    </r>
    <r>
      <rPr>
        <sz val="12"/>
        <color theme="1"/>
        <rFont val="Calibri"/>
        <family val="2"/>
        <charset val="186"/>
      </rPr>
      <t>×1,289)</t>
    </r>
    <r>
      <rPr>
        <sz val="12"/>
        <color theme="1"/>
        <rFont val="Times New Roman"/>
        <family val="1"/>
        <charset val="186"/>
      </rPr>
      <t>-1 = 0,1087;</t>
    </r>
  </si>
  <si>
    <r>
      <t>DUF</t>
    </r>
    <r>
      <rPr>
        <vertAlign val="subscript"/>
        <sz val="12"/>
        <color theme="1"/>
        <rFont val="Times New Roman"/>
        <family val="1"/>
        <charset val="186"/>
      </rPr>
      <t xml:space="preserve">2020 </t>
    </r>
    <r>
      <rPr>
        <sz val="12"/>
        <color theme="1"/>
        <rFont val="Times New Roman"/>
        <family val="1"/>
        <charset val="186"/>
      </rPr>
      <t>/ DUF</t>
    </r>
    <r>
      <rPr>
        <vertAlign val="subscript"/>
        <sz val="12"/>
        <color theme="1"/>
        <rFont val="Times New Roman"/>
        <family val="1"/>
        <charset val="186"/>
      </rPr>
      <t>2019</t>
    </r>
    <r>
      <rPr>
        <sz val="12"/>
        <color theme="1"/>
        <rFont val="Times New Roman"/>
        <family val="1"/>
        <charset val="186"/>
      </rPr>
      <t>-1 = 0,0475;</t>
    </r>
  </si>
  <si>
    <r>
      <t>DUF</t>
    </r>
    <r>
      <rPr>
        <vertAlign val="subscript"/>
        <sz val="12"/>
        <color theme="1"/>
        <rFont val="Times New Roman"/>
        <family val="1"/>
        <charset val="186"/>
      </rPr>
      <t xml:space="preserve">2021 </t>
    </r>
    <r>
      <rPr>
        <sz val="12"/>
        <color theme="1"/>
        <rFont val="Times New Roman"/>
        <family val="1"/>
        <charset val="186"/>
      </rPr>
      <t>/ DUF</t>
    </r>
    <r>
      <rPr>
        <vertAlign val="subscript"/>
        <sz val="12"/>
        <color theme="1"/>
        <rFont val="Times New Roman"/>
        <family val="1"/>
        <charset val="186"/>
      </rPr>
      <t>2020</t>
    </r>
    <r>
      <rPr>
        <sz val="12"/>
        <color theme="1"/>
        <rFont val="Times New Roman"/>
        <family val="1"/>
        <charset val="186"/>
      </rPr>
      <t>-1 = 0,0487;</t>
    </r>
  </si>
  <si>
    <r>
      <t>DUF</t>
    </r>
    <r>
      <rPr>
        <vertAlign val="subscript"/>
        <sz val="12"/>
        <color theme="1"/>
        <rFont val="Times New Roman"/>
        <family val="1"/>
        <charset val="186"/>
      </rPr>
      <t xml:space="preserve">2022 </t>
    </r>
    <r>
      <rPr>
        <sz val="12"/>
        <color theme="1"/>
        <rFont val="Times New Roman"/>
        <family val="1"/>
        <charset val="186"/>
      </rPr>
      <t>/ DUF</t>
    </r>
    <r>
      <rPr>
        <vertAlign val="subscript"/>
        <sz val="12"/>
        <color theme="1"/>
        <rFont val="Times New Roman"/>
        <family val="1"/>
        <charset val="186"/>
      </rPr>
      <t>2021</t>
    </r>
    <r>
      <rPr>
        <sz val="12"/>
        <color theme="1"/>
        <rFont val="Times New Roman"/>
        <family val="1"/>
        <charset val="186"/>
      </rPr>
      <t>-1 = 0,0476.</t>
    </r>
  </si>
  <si>
    <r>
      <t>DUF</t>
    </r>
    <r>
      <rPr>
        <vertAlign val="subscript"/>
        <sz val="12"/>
        <color theme="1"/>
        <rFont val="Times New Roman"/>
        <family val="1"/>
        <charset val="186"/>
      </rPr>
      <t xml:space="preserve">2023 </t>
    </r>
    <r>
      <rPr>
        <sz val="12"/>
        <color theme="1"/>
        <rFont val="Times New Roman"/>
        <family val="1"/>
        <charset val="186"/>
      </rPr>
      <t>/ DUF</t>
    </r>
    <r>
      <rPr>
        <vertAlign val="subscript"/>
        <sz val="12"/>
        <color theme="1"/>
        <rFont val="Times New Roman"/>
        <family val="1"/>
        <charset val="186"/>
      </rPr>
      <t>2022</t>
    </r>
    <r>
      <rPr>
        <sz val="12"/>
        <color theme="1"/>
        <rFont val="Times New Roman"/>
        <family val="1"/>
        <charset val="186"/>
      </rPr>
      <t>-1 = 0,0459.</t>
    </r>
  </si>
  <si>
    <t>0,0928+ 0,1108+ 0,1087+ 0,0475+ 0,0487+ 0,0476+0,0459</t>
  </si>
  <si>
    <t>= 0,0717</t>
  </si>
  <si>
    <r>
      <t>2021 metų pensijų indeksavimo koeficientas</t>
    </r>
    <r>
      <rPr>
        <b/>
        <sz val="12"/>
        <color theme="1"/>
        <rFont val="Times New Roman"/>
        <family val="1"/>
        <charset val="186"/>
      </rPr>
      <t xml:space="preserve"> IK</t>
    </r>
    <r>
      <rPr>
        <b/>
        <vertAlign val="subscript"/>
        <sz val="12"/>
        <color theme="1"/>
        <rFont val="Times New Roman"/>
        <family val="1"/>
        <charset val="186"/>
      </rPr>
      <t>2021</t>
    </r>
    <r>
      <rPr>
        <sz val="12"/>
        <color theme="1"/>
        <rFont val="Times New Roman"/>
        <family val="1"/>
        <charset val="186"/>
      </rPr>
      <t>=1+λ</t>
    </r>
    <r>
      <rPr>
        <vertAlign val="subscript"/>
        <sz val="12"/>
        <color theme="1"/>
        <rFont val="Times New Roman"/>
        <family val="1"/>
        <charset val="186"/>
      </rPr>
      <t>2021</t>
    </r>
    <r>
      <rPr>
        <sz val="12"/>
        <color theme="1"/>
        <rFont val="Times New Roman"/>
        <family val="1"/>
        <charset val="186"/>
      </rPr>
      <t>=1+0,0717=</t>
    </r>
    <r>
      <rPr>
        <b/>
        <sz val="12"/>
        <color theme="1"/>
        <rFont val="Times New Roman"/>
        <family val="1"/>
        <charset val="186"/>
      </rPr>
      <t>1,0717.</t>
    </r>
  </si>
  <si>
    <r>
      <t>2.</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 xml:space="preserve">2021 metų </t>
    </r>
    <r>
      <rPr>
        <sz val="12"/>
        <color theme="1"/>
        <rFont val="Times New Roman"/>
        <family val="1"/>
        <charset val="186"/>
      </rPr>
      <t>pensijų socialinio draudimo rūšies įplaukos,</t>
    </r>
  </si>
  <si>
    <r>
      <t>išlaidos ir rezultatas vykdant pensijų indeksavimą, kai pensijų indeksavimo koeficientas  -1,0717</t>
    </r>
    <r>
      <rPr>
        <sz val="12"/>
        <color theme="1"/>
        <rFont val="Times New Roman"/>
        <family val="1"/>
        <charset val="186"/>
      </rPr>
      <t>:</t>
    </r>
  </si>
  <si>
    <r>
      <t>3.</t>
    </r>
    <r>
      <rPr>
        <sz val="7"/>
        <color theme="1"/>
        <rFont val="Times New Roman"/>
        <family val="1"/>
        <charset val="186"/>
      </rPr>
      <t>   </t>
    </r>
    <r>
      <rPr>
        <sz val="12"/>
        <color theme="1"/>
        <rFont val="Times New Roman"/>
        <family val="1"/>
        <charset val="186"/>
      </rPr>
      <t xml:space="preserve">Apskaičiuojamos prognozuojamų </t>
    </r>
    <r>
      <rPr>
        <b/>
        <sz val="12"/>
        <color theme="1"/>
        <rFont val="Times New Roman"/>
        <family val="1"/>
        <charset val="186"/>
      </rPr>
      <t>2022 metų</t>
    </r>
    <r>
      <rPr>
        <sz val="12"/>
        <color theme="1"/>
        <rFont val="Times New Roman"/>
        <family val="1"/>
        <charset val="186"/>
      </rPr>
      <t xml:space="preserve"> pensijų socialinio draudimo rūšies įplaukos, išlaidos ir rezultatas, kai pensijų indeksavimo koeficientas  2021 m. -1,0717,o 2022 metais indeksacija nevykdoma:</t>
    </r>
  </si>
  <si>
    <t>4. Socialinio draudimo bazinės pensijos dydis apskaičiuojamas euro cento tikslumu dauginant 2020 m. bazinės pensijos dydį iš 2021 metų bazinės pensijos indeksavimo koeficiento:</t>
  </si>
  <si>
    <t>2020 m. socialinio draudimo bazinės pensijos dydis  – 180,95 eurai;</t>
  </si>
  <si>
    <r>
      <t>bazinės pensijos indeksavimo koeficientas</t>
    </r>
    <r>
      <rPr>
        <b/>
        <vertAlign val="subscript"/>
        <sz val="12"/>
        <color theme="1"/>
        <rFont val="Times New Roman"/>
        <family val="1"/>
        <charset val="186"/>
      </rPr>
      <t xml:space="preserve"> </t>
    </r>
    <r>
      <rPr>
        <sz val="12"/>
        <color theme="1"/>
        <rFont val="Times New Roman"/>
        <family val="1"/>
        <charset val="186"/>
      </rPr>
      <t>– 1,0717;</t>
    </r>
  </si>
  <si>
    <t>180,95×1,0717 = 193,92.</t>
  </si>
  <si>
    <t>pensijų draudimo rūšies įplaukos:   3 895 292 tūkst. Eur</t>
  </si>
  <si>
    <t>pensijų draudimo rūšies išlaidos:  3 768 867 tūkst. Eur</t>
  </si>
  <si>
    <r>
      <t>rezultatas (</t>
    </r>
    <r>
      <rPr>
        <i/>
        <sz val="12"/>
        <color theme="1"/>
        <rFont val="Times New Roman"/>
        <family val="1"/>
        <charset val="186"/>
      </rPr>
      <t>pajamos- išlaidos</t>
    </r>
    <r>
      <rPr>
        <sz val="12"/>
        <color theme="1"/>
        <rFont val="Times New Roman"/>
        <family val="1"/>
        <charset val="186"/>
      </rPr>
      <t>): 126 425 tūkst. Eur</t>
    </r>
  </si>
  <si>
    <t>pensijų draudimo rūšies įplaukos:  3 945 237   tūkst. Eur</t>
  </si>
  <si>
    <t>pensijų draudimo rūšies išlaidos: 3 757 511  tūkst. Eur</t>
  </si>
  <si>
    <r>
      <t>rezultatas (</t>
    </r>
    <r>
      <rPr>
        <i/>
        <sz val="12"/>
        <color theme="1"/>
        <rFont val="Times New Roman"/>
        <family val="1"/>
        <charset val="186"/>
      </rPr>
      <t>pajamos- išlaidos</t>
    </r>
    <r>
      <rPr>
        <sz val="12"/>
        <color theme="1"/>
        <rFont val="Times New Roman"/>
        <family val="1"/>
        <charset val="186"/>
      </rPr>
      <t>): 187 726 tūkst. Eur</t>
    </r>
  </si>
  <si>
    <t>2021 metų socialinio draudimo bazinės pensijos dydis – 193,92 euro.</t>
  </si>
  <si>
    <t>5. Socialinio draudimo našlių pensijos bazinis dydis apskaičiuojamas euro cento tikslumu dauginant 2020 m. našlių pensijos bazinį dydį iš 2021 metų pensijų indeksavimo koeficiento:</t>
  </si>
  <si>
    <r>
      <t xml:space="preserve">Kadangi 2021 - 2022 metų pensijų socialinio draudimo rūšies rezultatas teigiamas, tai  2021 metų apskaičiuotas </t>
    </r>
    <r>
      <rPr>
        <b/>
        <sz val="12"/>
        <color theme="1"/>
        <rFont val="Times New Roman"/>
        <family val="1"/>
        <charset val="186"/>
      </rPr>
      <t xml:space="preserve"> </t>
    </r>
    <r>
      <rPr>
        <sz val="12"/>
        <color theme="1"/>
        <rFont val="Times New Roman"/>
        <family val="1"/>
        <charset val="186"/>
      </rPr>
      <t>pensijų</t>
    </r>
    <r>
      <rPr>
        <b/>
        <sz val="12"/>
        <color theme="1"/>
        <rFont val="Times New Roman"/>
        <family val="1"/>
        <charset val="186"/>
      </rPr>
      <t xml:space="preserve"> </t>
    </r>
    <r>
      <rPr>
        <sz val="12"/>
        <color theme="1"/>
        <rFont val="Times New Roman"/>
        <family val="1"/>
        <charset val="186"/>
      </rPr>
      <t xml:space="preserve">indeksavimo koeficientas  </t>
    </r>
    <r>
      <rPr>
        <b/>
        <sz val="12"/>
        <color theme="1"/>
        <rFont val="Times New Roman"/>
        <family val="1"/>
        <charset val="186"/>
      </rPr>
      <t>1,0717 yra taikomas.</t>
    </r>
  </si>
  <si>
    <t>2020 m. socialinio draudimo našlių pensijos bazinis dydis – 26,13 eurai;</t>
  </si>
  <si>
    <r>
      <t>pensijų indeksavimo koeficientas</t>
    </r>
    <r>
      <rPr>
        <b/>
        <vertAlign val="subscript"/>
        <sz val="12"/>
        <color theme="1"/>
        <rFont val="Times New Roman"/>
        <family val="1"/>
        <charset val="186"/>
      </rPr>
      <t xml:space="preserve"> </t>
    </r>
    <r>
      <rPr>
        <sz val="12"/>
        <color theme="1"/>
        <rFont val="Times New Roman"/>
        <family val="1"/>
        <charset val="186"/>
      </rPr>
      <t>– 1,0717;</t>
    </r>
  </si>
  <si>
    <t>26,13×1,0717 = 28,00.</t>
  </si>
  <si>
    <t>2021 metų socialinio draudimo našlių pensijos bazinis dydis - 28,00 euro.</t>
  </si>
  <si>
    <t>6. Pensijų apskaitos vieneto vertės dydis apskaičiuojamas euro cento tikslumu dauginant 2020 m. galiojusį apskaitos vieneto dydį dauginant iš 2021 metų pensijų indeksavimo koeficiento:</t>
  </si>
  <si>
    <t>2020 m. pensijų apskaitos vieneto vertė – 3,81 euro;</t>
  </si>
  <si>
    <t>3,81×1,0717 = 4,08.</t>
  </si>
  <si>
    <t>2021 metų pensijų apskaitos vieneto vertės dydis – 4,08 euro.</t>
  </si>
  <si>
    <r>
      <t xml:space="preserve">2.2. </t>
    </r>
    <r>
      <rPr>
        <b/>
        <u/>
        <sz val="12"/>
        <rFont val="Times New Roman"/>
        <family val="1"/>
        <charset val="186"/>
      </rPr>
      <t>Ligos socialiniam draudimui</t>
    </r>
  </si>
  <si>
    <r>
      <t xml:space="preserve">2.2.1. </t>
    </r>
    <r>
      <rPr>
        <b/>
        <u/>
        <sz val="11"/>
        <rFont val="Times New Roman"/>
        <family val="1"/>
        <charset val="186"/>
      </rPr>
      <t xml:space="preserve">Privalomajam valstybiniam </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</si>
  <si>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</si>
  <si>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2.2.1.1. </t>
    </r>
    <r>
      <rPr>
        <b/>
        <u/>
        <sz val="10"/>
        <rFont val="Times New Roman"/>
        <family val="1"/>
        <charset val="186"/>
      </rPr>
      <t>Ligos išmokoms</t>
    </r>
    <r>
      <rPr>
        <u/>
        <sz val="10"/>
        <rFont val="Times New Roman"/>
        <family val="1"/>
        <charset val="186"/>
      </rPr>
      <t xml:space="preserve"> (su atidėjinių pokyčiu)</t>
    </r>
  </si>
  <si>
    <r>
      <rPr>
        <b/>
        <sz val="10"/>
        <rFont val="Times New Roman"/>
        <family val="1"/>
        <charset val="186"/>
      </rPr>
      <t xml:space="preserve">2.2.1.2. </t>
    </r>
    <r>
      <rPr>
        <b/>
        <u/>
        <sz val="10"/>
        <rFont val="Times New Roman"/>
        <family val="1"/>
        <charset val="186"/>
      </rPr>
      <t>Profesinės reabilitacijos išmokoms</t>
    </r>
  </si>
  <si>
    <r>
      <t xml:space="preserve">2.2.2. </t>
    </r>
    <r>
      <rPr>
        <b/>
        <u/>
        <sz val="11"/>
        <rFont val="Times New Roman"/>
        <family val="1"/>
        <charset val="186"/>
      </rPr>
      <t xml:space="preserve">Savanoriškajam valstybiniam </t>
    </r>
  </si>
  <si>
    <r>
      <t xml:space="preserve">          </t>
    </r>
    <r>
      <rPr>
        <b/>
        <u/>
        <sz val="11"/>
        <rFont val="Times New Roman"/>
        <family val="1"/>
        <charset val="186"/>
      </rPr>
      <t xml:space="preserve"> socialiniam draudimui</t>
    </r>
  </si>
  <si>
    <r>
      <t xml:space="preserve">2.3.  </t>
    </r>
    <r>
      <rPr>
        <b/>
        <u/>
        <sz val="12"/>
        <rFont val="Times New Roman"/>
        <family val="1"/>
        <charset val="186"/>
      </rPr>
      <t>Motinystės socialiniam draudimui</t>
    </r>
  </si>
  <si>
    <r>
      <t xml:space="preserve">2.3.1. </t>
    </r>
    <r>
      <rPr>
        <b/>
        <u/>
        <sz val="11"/>
        <rFont val="Times New Roman"/>
        <family val="1"/>
        <charset val="186"/>
      </rPr>
      <t>Privalomajam valstybiniam</t>
    </r>
  </si>
  <si>
    <r>
      <t xml:space="preserve">           </t>
    </r>
    <r>
      <rPr>
        <b/>
        <u/>
        <sz val="11"/>
        <rFont val="Times New Roman"/>
        <family val="1"/>
        <charset val="186"/>
      </rPr>
      <t>socialiniam draudimui</t>
    </r>
    <r>
      <rPr>
        <sz val="11"/>
        <rFont val="Times New Roman"/>
        <family val="1"/>
        <charset val="186"/>
      </rPr>
      <t xml:space="preserve"> (su atidėjinių pokyčiu)</t>
    </r>
  </si>
  <si>
    <r>
      <rPr>
        <b/>
        <sz val="10"/>
        <rFont val="Times New Roman"/>
        <family val="1"/>
        <charset val="186"/>
      </rPr>
      <t xml:space="preserve">2.3.1.1. </t>
    </r>
    <r>
      <rPr>
        <b/>
        <u/>
        <sz val="10"/>
        <rFont val="Times New Roman"/>
        <family val="1"/>
        <charset val="186"/>
      </rPr>
      <t>Motinystės išmokoms</t>
    </r>
    <r>
      <rPr>
        <sz val="10"/>
        <rFont val="Times New Roman"/>
        <family val="1"/>
        <charset val="186"/>
      </rPr>
      <t xml:space="preserve"> (su atidėjinių pokyčiu)</t>
    </r>
  </si>
  <si>
    <r>
      <rPr>
        <b/>
        <sz val="10"/>
        <rFont val="Times New Roman"/>
        <family val="1"/>
        <charset val="186"/>
      </rPr>
      <t xml:space="preserve">2.3.1.2.  </t>
    </r>
    <r>
      <rPr>
        <b/>
        <u/>
        <sz val="10"/>
        <rFont val="Times New Roman"/>
        <family val="1"/>
        <charset val="186"/>
      </rPr>
      <t>Vaiko priežiūros išmokoms</t>
    </r>
    <r>
      <rPr>
        <sz val="10"/>
        <rFont val="Times New Roman"/>
        <family val="1"/>
        <charset val="186"/>
      </rPr>
      <t xml:space="preserve"> (su atidėjinių pokyčiu)</t>
    </r>
  </si>
  <si>
    <r>
      <t xml:space="preserve">              sukaks vieni metai</t>
    </r>
    <r>
      <rPr>
        <sz val="10"/>
        <rFont val="Times New Roman"/>
        <family val="1"/>
        <charset val="186"/>
      </rPr>
      <t xml:space="preserve"> (su atidėjinių pokyčiu)</t>
    </r>
  </si>
  <si>
    <r>
      <t xml:space="preserve">              </t>
    </r>
    <r>
      <rPr>
        <sz val="10"/>
        <rFont val="Times New Roman"/>
        <family val="1"/>
        <charset val="186"/>
      </rPr>
      <t>Vaiko priežiūros išmokoms</t>
    </r>
  </si>
  <si>
    <r>
      <rPr>
        <b/>
        <sz val="10"/>
        <rFont val="Times New Roman"/>
        <family val="1"/>
        <charset val="186"/>
      </rPr>
      <t xml:space="preserve">2.3.1.3. </t>
    </r>
    <r>
      <rPr>
        <b/>
        <u/>
        <sz val="10"/>
        <rFont val="Times New Roman"/>
        <family val="1"/>
        <charset val="186"/>
      </rPr>
      <t>Tėvystės išmokoms</t>
    </r>
    <r>
      <rPr>
        <sz val="10"/>
        <rFont val="Times New Roman"/>
        <family val="1"/>
        <charset val="186"/>
      </rPr>
      <t xml:space="preserve"> (su atidėjinių pokyčiu)</t>
    </r>
  </si>
  <si>
    <r>
      <t xml:space="preserve">              </t>
    </r>
    <r>
      <rPr>
        <sz val="10"/>
        <rFont val="Times New Roman"/>
        <family val="1"/>
        <charset val="186"/>
      </rPr>
      <t>Tėvystės išmokoms</t>
    </r>
  </si>
  <si>
    <r>
      <t xml:space="preserve">2.3.2. </t>
    </r>
    <r>
      <rPr>
        <b/>
        <u/>
        <sz val="11"/>
        <rFont val="Times New Roman"/>
        <family val="1"/>
        <charset val="186"/>
      </rPr>
      <t xml:space="preserve">Savanoriškajam valstybiniam </t>
    </r>
  </si>
  <si>
    <r>
      <t xml:space="preserve">           </t>
    </r>
    <r>
      <rPr>
        <b/>
        <u/>
        <sz val="11"/>
        <rFont val="Times New Roman"/>
        <family val="1"/>
        <charset val="186"/>
      </rPr>
      <t>socialiniam draudimui motinystės išmokoms</t>
    </r>
  </si>
  <si>
    <r>
      <t xml:space="preserve">2.4. </t>
    </r>
    <r>
      <rPr>
        <b/>
        <u/>
        <sz val="12"/>
        <rFont val="Times New Roman"/>
        <family val="1"/>
        <charset val="186"/>
      </rPr>
      <t>Nedarbo socialiniam draudimui</t>
    </r>
  </si>
  <si>
    <r>
      <t xml:space="preserve">2.4.1. </t>
    </r>
    <r>
      <rPr>
        <b/>
        <u/>
        <sz val="10"/>
        <rFont val="Times New Roman"/>
        <family val="1"/>
        <charset val="186"/>
      </rPr>
      <t>Nedarbo draudimo išmokoms</t>
    </r>
    <r>
      <rPr>
        <sz val="10"/>
        <rFont val="Times New Roman"/>
        <family val="1"/>
        <charset val="186"/>
      </rPr>
      <t xml:space="preserve"> (su atidėjinių pokyčiu)</t>
    </r>
  </si>
  <si>
    <r>
      <t xml:space="preserve">2.5. </t>
    </r>
    <r>
      <rPr>
        <b/>
        <u/>
        <sz val="11"/>
        <rFont val="Times New Roman"/>
        <family val="1"/>
        <charset val="186"/>
      </rPr>
      <t xml:space="preserve">Nelaimingų atsitikimų darbe ir profesinių </t>
    </r>
  </si>
  <si>
    <r>
      <t xml:space="preserve">       </t>
    </r>
    <r>
      <rPr>
        <b/>
        <u/>
        <sz val="11"/>
        <rFont val="Times New Roman"/>
        <family val="1"/>
        <charset val="186"/>
      </rPr>
      <t>ligų socialiniam draudimui</t>
    </r>
  </si>
  <si>
    <r>
      <t xml:space="preserve">2.5.1. </t>
    </r>
    <r>
      <rPr>
        <b/>
        <u/>
        <sz val="10"/>
        <rFont val="Times New Roman"/>
        <family val="1"/>
        <charset val="186"/>
      </rPr>
      <t>Ligos dėl nelaimingo atsitikimo darbe, pakeliui</t>
    </r>
  </si>
  <si>
    <r>
      <t xml:space="preserve">           </t>
    </r>
    <r>
      <rPr>
        <b/>
        <u/>
        <sz val="10"/>
        <rFont val="Times New Roman"/>
        <family val="1"/>
        <charset val="186"/>
      </rPr>
      <t>į darbą ar iš darbo arba profesinės ligos pašalpoms</t>
    </r>
  </si>
  <si>
    <r>
      <t xml:space="preserve">2.5.2. </t>
    </r>
    <r>
      <rPr>
        <b/>
        <u/>
        <sz val="10"/>
        <rFont val="Times New Roman"/>
        <family val="1"/>
        <charset val="186"/>
      </rPr>
      <t>Netekto darbingumo vienkartinei kompensacijai</t>
    </r>
  </si>
  <si>
    <r>
      <t xml:space="preserve">2.5.3. </t>
    </r>
    <r>
      <rPr>
        <b/>
        <u/>
        <sz val="10"/>
        <rFont val="Times New Roman"/>
        <family val="1"/>
        <charset val="186"/>
      </rPr>
      <t xml:space="preserve"> Netekto darbingumo periodinei kompensacijai</t>
    </r>
  </si>
  <si>
    <r>
      <t xml:space="preserve">2.5.4. </t>
    </r>
    <r>
      <rPr>
        <b/>
        <u/>
        <sz val="10"/>
        <rFont val="Times New Roman"/>
        <family val="1"/>
        <charset val="186"/>
      </rPr>
      <t>Vienkartinei draudimo išmokai apdraustajam</t>
    </r>
  </si>
  <si>
    <r>
      <t xml:space="preserve">          </t>
    </r>
    <r>
      <rPr>
        <b/>
        <u/>
        <sz val="10"/>
        <rFont val="Times New Roman"/>
        <family val="1"/>
        <charset val="186"/>
      </rPr>
      <t xml:space="preserve"> mirus</t>
    </r>
    <r>
      <rPr>
        <sz val="10"/>
        <rFont val="Times New Roman"/>
        <family val="1"/>
        <charset val="186"/>
      </rPr>
      <t xml:space="preserve"> (su atidėjinių pokyčiu)</t>
    </r>
  </si>
  <si>
    <r>
      <t xml:space="preserve"> 2.5.5. </t>
    </r>
    <r>
      <rPr>
        <b/>
        <u/>
        <sz val="10"/>
        <rFont val="Times New Roman"/>
        <family val="1"/>
        <charset val="186"/>
      </rPr>
      <t>Periodinei draudimo išmokai apdraustajam mirus</t>
    </r>
  </si>
  <si>
    <t xml:space="preserve">2021 m. projektas </t>
  </si>
  <si>
    <r>
      <t xml:space="preserve">T </t>
    </r>
    <r>
      <rPr>
        <vertAlign val="subscript"/>
        <sz val="12"/>
        <color theme="1"/>
        <rFont val="Times New Roman"/>
        <family val="1"/>
        <charset val="186"/>
      </rPr>
      <t>skyrimo ir mokėjimo</t>
    </r>
    <r>
      <rPr>
        <sz val="12"/>
        <color theme="1"/>
        <rFont val="Times New Roman"/>
        <family val="1"/>
        <charset val="186"/>
      </rPr>
      <t xml:space="preserve">  = 4447/ 359159,1 × 100 =</t>
    </r>
    <r>
      <rPr>
        <sz val="12"/>
        <rFont val="Times New Roman"/>
        <family val="1"/>
        <charset val="186"/>
      </rPr>
      <t xml:space="preserve"> 1,2 proc.</t>
    </r>
  </si>
  <si>
    <r>
      <t>I</t>
    </r>
    <r>
      <rPr>
        <vertAlign val="subscript"/>
        <sz val="10"/>
        <rFont val="Times New (W1)"/>
        <family val="1"/>
      </rPr>
      <t>s</t>
    </r>
    <r>
      <rPr>
        <sz val="10"/>
        <rFont val="Times New (W1)"/>
        <family val="1"/>
      </rPr>
      <t xml:space="preserve"> – išmokų, finansuojamų iš valstybės biudžeto, planinė suma 2021 m.  (359159,1 tūkst. Eur);</t>
    </r>
  </si>
  <si>
    <r>
      <t>T</t>
    </r>
    <r>
      <rPr>
        <vertAlign val="subscript"/>
        <sz val="12"/>
        <rFont val="Times New Roman"/>
        <family val="1"/>
        <charset val="186"/>
      </rPr>
      <t>sveikat.</t>
    </r>
    <r>
      <rPr>
        <sz val="12"/>
        <rFont val="Times New Roman"/>
        <family val="1"/>
        <charset val="186"/>
      </rPr>
      <t xml:space="preserve"> = 2019/1516685  × 100 =</t>
    </r>
    <r>
      <rPr>
        <b/>
        <sz val="12"/>
        <rFont val="Times New Roman"/>
        <family val="1"/>
        <charset val="186"/>
      </rPr>
      <t xml:space="preserve"> 0,13 proc. </t>
    </r>
  </si>
  <si>
    <r>
      <t xml:space="preserve">SUM </t>
    </r>
    <r>
      <rPr>
        <vertAlign val="subscript"/>
        <sz val="10"/>
        <rFont val="Times New Roman"/>
        <family val="1"/>
        <charset val="186"/>
      </rPr>
      <t>sveikat.</t>
    </r>
    <r>
      <rPr>
        <sz val="10"/>
        <rFont val="Times New Roman"/>
        <family val="1"/>
        <charset val="186"/>
      </rPr>
      <t xml:space="preserve"> – planuojamos sveikatos draudimo įmokos į Privalomąjį sveikatos draudimo fondą 2021 metais      (1 516 685  tūkst.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</si>
</sst>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0.0"/>
    <numFmt numFmtId="167" formatCode="0.000"/>
    <numFmt numFmtId="168" formatCode="0.0000"/>
  </numFmts>
  <fonts count="108">
    <font>
      <sz val="11"/>
      <color theme="1"/>
      <name val="Calibri"/>
      <family val="2"/>
      <charset val="186"/>
      <scheme val="minor"/>
    </font>
    <font>
      <sz val="10"/>
      <name val="Arial"/>
      <family val="2"/>
      <charset val="186"/>
    </font>
    <font>
      <sz val="10"/>
      <name val="Times New Roman"/>
      <family val="1"/>
      <charset val="186"/>
    </font>
    <font>
      <b/>
      <sz val="9"/>
      <name val="Times New Roman"/>
      <family val="1"/>
      <charset val="186"/>
    </font>
    <font>
      <sz val="10"/>
      <name val="HelveticaLT"/>
      <charset val="186"/>
    </font>
    <font>
      <b/>
      <sz val="10"/>
      <name val="Times New Roman"/>
      <family val="1"/>
      <charset val="186"/>
    </font>
    <font>
      <b/>
      <sz val="12"/>
      <name val="Times New Roman"/>
      <family val="1"/>
      <charset val="186"/>
    </font>
    <font>
      <sz val="9"/>
      <name val="Times New Roman"/>
      <family val="1"/>
      <charset val="186"/>
    </font>
    <font>
      <sz val="11"/>
      <name val="TimesLT"/>
      <family val="1"/>
    </font>
    <font>
      <sz val="11"/>
      <name val="Times New Roman"/>
      <family val="1"/>
      <charset val="186"/>
    </font>
    <font>
      <b/>
      <sz val="11"/>
      <name val="Times New Roman"/>
      <family val="1"/>
      <charset val="186"/>
    </font>
    <font>
      <i/>
      <sz val="9"/>
      <name val="Times New Roman"/>
      <family val="1"/>
      <charset val="186"/>
    </font>
    <font>
      <b/>
      <i/>
      <sz val="9"/>
      <name val="Times New Roman"/>
      <family val="1"/>
      <charset val="186"/>
    </font>
    <font>
      <b/>
      <u/>
      <sz val="12"/>
      <name val="Times New Roman"/>
      <family val="1"/>
      <charset val="186"/>
    </font>
    <font>
      <b/>
      <i/>
      <sz val="10"/>
      <name val="Times New Roman"/>
      <family val="1"/>
      <charset val="186"/>
    </font>
    <font>
      <i/>
      <sz val="10"/>
      <name val="Times New Roman"/>
      <family val="1"/>
      <charset val="186"/>
    </font>
    <font>
      <b/>
      <u/>
      <sz val="10"/>
      <name val="Times New Roman"/>
      <family val="1"/>
      <charset val="186"/>
    </font>
    <font>
      <sz val="8"/>
      <name val="Times New Roman"/>
      <family val="1"/>
      <charset val="186"/>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sz val="10"/>
      <color indexed="10"/>
      <name val="Times New Roman"/>
      <family val="1"/>
      <charset val="186"/>
    </font>
    <font>
      <b/>
      <sz val="8"/>
      <name val="Times New Roman"/>
      <family val="1"/>
      <charset val="186"/>
    </font>
    <font>
      <b/>
      <u/>
      <sz val="11"/>
      <name val="Times New Roman"/>
      <family val="1"/>
      <charset val="186"/>
    </font>
    <font>
      <sz val="12"/>
      <color theme="1"/>
      <name val="Times New Roman"/>
      <family val="1"/>
      <charset val="186"/>
    </font>
    <font>
      <sz val="10"/>
      <color theme="1"/>
      <name val="Times New Roman"/>
      <family val="1"/>
      <charset val="186"/>
    </font>
    <font>
      <sz val="12"/>
      <name val="Times New Roman"/>
      <family val="1"/>
      <charset val="186"/>
    </font>
    <font>
      <b/>
      <sz val="12"/>
      <color theme="1"/>
      <name val="Times New Roman"/>
      <family val="1"/>
      <charset val="186"/>
    </font>
    <font>
      <b/>
      <sz val="11"/>
      <color theme="1"/>
      <name val="Times New Roman"/>
      <family val="1"/>
      <charset val="186"/>
    </font>
    <font>
      <sz val="10"/>
      <name val="Arial"/>
      <family val="2"/>
      <charset val="186"/>
    </font>
    <font>
      <b/>
      <u/>
      <sz val="14"/>
      <name val="TimesLT"/>
      <family val="1"/>
    </font>
    <font>
      <i/>
      <sz val="10"/>
      <color indexed="10"/>
      <name val="Times New Roman"/>
      <family val="1"/>
      <charset val="186"/>
    </font>
    <font>
      <sz val="10"/>
      <name val="TimesLT"/>
      <family val="1"/>
    </font>
    <font>
      <sz val="11"/>
      <color theme="1"/>
      <name val="Times New Roman"/>
      <family val="1"/>
      <charset val="186"/>
    </font>
    <font>
      <b/>
      <i/>
      <u/>
      <sz val="16"/>
      <name val="Times New Roman"/>
      <family val="1"/>
      <charset val="186"/>
    </font>
    <font>
      <i/>
      <sz val="12"/>
      <name val="Times New Roman"/>
      <family val="1"/>
      <charset val="186"/>
    </font>
    <font>
      <sz val="10"/>
      <name val="Arial"/>
      <family val="2"/>
      <charset val="186"/>
    </font>
    <font>
      <sz val="10"/>
      <name val="Arial"/>
      <family val="2"/>
      <charset val="186"/>
    </font>
    <font>
      <b/>
      <i/>
      <sz val="10"/>
      <color indexed="10"/>
      <name val="Times New Roman"/>
      <family val="1"/>
      <charset val="186"/>
    </font>
    <font>
      <sz val="10"/>
      <color rgb="FF0070C0"/>
      <name val="Times New Roman"/>
      <family val="1"/>
      <charset val="186"/>
    </font>
    <font>
      <sz val="10"/>
      <color theme="3" tint="0.39997558519241921"/>
      <name val="Times New Roman"/>
      <family val="1"/>
      <charset val="186"/>
    </font>
    <font>
      <sz val="10"/>
      <color rgb="FFFF0000"/>
      <name val="Times New Roman"/>
      <family val="1"/>
      <charset val="186"/>
    </font>
    <font>
      <sz val="10"/>
      <name val="Arial"/>
      <family val="2"/>
      <charset val="186"/>
    </font>
    <font>
      <sz val="10"/>
      <name val="Arial"/>
      <family val="2"/>
      <charset val="186"/>
    </font>
    <font>
      <sz val="10"/>
      <name val="Arial"/>
      <family val="2"/>
      <charset val="186"/>
    </font>
    <font>
      <sz val="10"/>
      <color rgb="FF00B0F0"/>
      <name val="Times New Roman"/>
      <family val="1"/>
      <charset val="186"/>
    </font>
    <font>
      <sz val="11"/>
      <color rgb="FFFF0000"/>
      <name val="Times New Roman"/>
      <family val="1"/>
      <charset val="186"/>
    </font>
    <font>
      <sz val="10"/>
      <name val="Arial"/>
      <family val="2"/>
      <charset val="186"/>
    </font>
    <font>
      <i/>
      <sz val="10"/>
      <color theme="1"/>
      <name val="Times New Roman"/>
      <family val="1"/>
      <charset val="186"/>
    </font>
    <font>
      <sz val="11"/>
      <color rgb="FF7030A0"/>
      <name val="Times New Roman"/>
      <family val="1"/>
      <charset val="186"/>
    </font>
    <font>
      <sz val="10"/>
      <color indexed="12"/>
      <name val="Times New Roman"/>
      <family val="1"/>
      <charset val="186"/>
    </font>
    <font>
      <b/>
      <sz val="12"/>
      <color rgb="FFFF0000"/>
      <name val="Times New Roman"/>
      <family val="1"/>
      <charset val="186"/>
    </font>
    <font>
      <i/>
      <sz val="11"/>
      <color theme="1"/>
      <name val="Times New Roman"/>
      <family val="1"/>
      <charset val="186"/>
    </font>
    <font>
      <sz val="10"/>
      <name val="Arial"/>
      <family val="2"/>
      <charset val="186"/>
    </font>
    <font>
      <sz val="10"/>
      <name val="Arial"/>
      <family val="2"/>
      <charset val="186"/>
    </font>
    <font>
      <sz val="10"/>
      <color theme="4"/>
      <name val="Times New Roman"/>
      <family val="1"/>
      <charset val="186"/>
    </font>
    <font>
      <sz val="10"/>
      <color rgb="FF00B050"/>
      <name val="Times New Roman"/>
      <family val="1"/>
      <charset val="186"/>
    </font>
    <font>
      <sz val="7"/>
      <color theme="1"/>
      <name val="Times New Roman"/>
      <family val="1"/>
      <charset val="186"/>
    </font>
    <font>
      <vertAlign val="subscript"/>
      <sz val="12"/>
      <color theme="1"/>
      <name val="Times New Roman"/>
      <family val="1"/>
      <charset val="186"/>
    </font>
    <font>
      <sz val="6"/>
      <color theme="1"/>
      <name val="Times New Roman"/>
      <family val="1"/>
      <charset val="186"/>
    </font>
    <font>
      <sz val="12"/>
      <color theme="1"/>
      <name val="Calibri"/>
      <family val="2"/>
      <charset val="186"/>
    </font>
    <font>
      <b/>
      <sz val="14"/>
      <color theme="1"/>
      <name val="Times New Roman"/>
      <family val="1"/>
      <charset val="186"/>
    </font>
    <font>
      <b/>
      <vertAlign val="subscript"/>
      <sz val="14"/>
      <color theme="1"/>
      <name val="Times New Roman"/>
      <family val="1"/>
      <charset val="186"/>
    </font>
    <font>
      <sz val="14"/>
      <color theme="1"/>
      <name val="Times New Roman"/>
      <family val="1"/>
      <charset val="186"/>
    </font>
    <font>
      <b/>
      <sz val="6"/>
      <color theme="1"/>
      <name val="Times New Roman"/>
      <family val="1"/>
      <charset val="186"/>
    </font>
    <font>
      <b/>
      <vertAlign val="subscript"/>
      <sz val="12"/>
      <color theme="1"/>
      <name val="Times New Roman"/>
      <family val="1"/>
      <charset val="186"/>
    </font>
    <font>
      <u/>
      <sz val="12"/>
      <color theme="1"/>
      <name val="Times New Roman"/>
      <family val="1"/>
      <charset val="186"/>
    </font>
    <font>
      <i/>
      <sz val="12"/>
      <color theme="1"/>
      <name val="Times New Roman"/>
      <family val="1"/>
      <charset val="186"/>
    </font>
    <font>
      <sz val="10"/>
      <name val="Arial"/>
      <family val="2"/>
      <charset val="186"/>
    </font>
    <font>
      <u/>
      <sz val="10"/>
      <name val="Times New Roman"/>
      <family val="1"/>
      <charset val="186"/>
    </font>
    <font>
      <b/>
      <sz val="10"/>
      <color indexed="10"/>
      <name val="Times New Roman"/>
      <family val="1"/>
      <charset val="186"/>
    </font>
    <font>
      <u/>
      <sz val="11"/>
      <name val="Times New Roman"/>
      <family val="1"/>
      <charset val="186"/>
    </font>
    <font>
      <vertAlign val="subscript"/>
      <sz val="10"/>
      <name val="Times New Roman"/>
      <family val="1"/>
      <charset val="186"/>
    </font>
    <font>
      <vertAlign val="subscript"/>
      <sz val="10"/>
      <color theme="1"/>
      <name val="Times New Roman"/>
      <family val="1"/>
      <charset val="186"/>
    </font>
    <font>
      <sz val="10"/>
      <color theme="1"/>
      <name val="Times New (W1)"/>
      <family val="1"/>
    </font>
    <font>
      <vertAlign val="subscript"/>
      <sz val="10"/>
      <name val="Times New (W1)"/>
      <family val="1"/>
    </font>
    <font>
      <sz val="10"/>
      <name val="Times New (W1)"/>
      <family val="1"/>
    </font>
    <font>
      <vertAlign val="subscript"/>
      <sz val="12"/>
      <name val="Times New Roman"/>
      <family val="1"/>
      <charset val="186"/>
    </font>
    <font>
      <sz val="10"/>
      <name val="Arial"/>
      <family val="2"/>
      <charset val="186"/>
    </font>
    <font>
      <sz val="8"/>
      <color rgb="FF0070C0"/>
      <name val="Times New Roman"/>
      <family val="1"/>
      <charset val="186"/>
    </font>
    <font>
      <sz val="10"/>
      <name val="Arial"/>
      <family val="2"/>
      <charset val="186"/>
    </font>
    <font>
      <sz val="12"/>
      <color rgb="FFFF0000"/>
      <name val="Times New Roman"/>
      <family val="1"/>
      <charset val="186"/>
    </font>
    <font>
      <b/>
      <sz val="16"/>
      <name val="Times New Roman"/>
      <family val="1"/>
      <charset val="186"/>
    </font>
    <font>
      <sz val="10"/>
      <color theme="6"/>
      <name val="Times New Roman"/>
      <family val="1"/>
      <charset val="186"/>
    </font>
    <font>
      <sz val="10"/>
      <name val="Arial"/>
    </font>
  </fonts>
  <fills count="4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31">
    <xf numFmtId="0" fontId="0" fillId="0" borderId="0"/>
    <xf numFmtId="0" fontId="1" fillId="0" borderId="0"/>
    <xf numFmtId="0" fontId="4" fillId="0" borderId="0"/>
    <xf numFmtId="0" fontId="8" fillId="0" borderId="0"/>
    <xf numFmtId="0" fontId="1" fillId="0" borderId="0"/>
    <xf numFmtId="0" fontId="4" fillId="0" borderId="0"/>
    <xf numFmtId="0" fontId="8"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3"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8"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2" borderId="0" applyNumberFormat="0" applyBorder="0" applyAlignment="0" applyProtection="0"/>
    <xf numFmtId="0" fontId="20" fillId="2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1" fillId="18" borderId="0" applyNumberFormat="0" applyBorder="0" applyAlignment="0" applyProtection="0"/>
    <xf numFmtId="0" fontId="20" fillId="27" borderId="0" applyNumberFormat="0" applyBorder="0" applyAlignment="0" applyProtection="0"/>
    <xf numFmtId="0" fontId="22" fillId="18" borderId="0" applyNumberFormat="0" applyBorder="0" applyAlignment="0" applyProtection="0"/>
    <xf numFmtId="0" fontId="23" fillId="28" borderId="8" applyNumberFormat="0" applyAlignment="0" applyProtection="0"/>
    <xf numFmtId="0" fontId="24" fillId="19" borderId="9" applyNumberFormat="0" applyAlignment="0" applyProtection="0"/>
    <xf numFmtId="0" fontId="25"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6" fillId="0" borderId="0" applyNumberFormat="0" applyFill="0" applyBorder="0" applyAlignment="0" applyProtection="0"/>
    <xf numFmtId="0" fontId="27" fillId="32" borderId="0" applyNumberFormat="0" applyBorder="0" applyAlignment="0" applyProtection="0"/>
    <xf numFmtId="0" fontId="28" fillId="0" borderId="10" applyNumberFormat="0" applyFill="0" applyAlignment="0" applyProtection="0"/>
    <xf numFmtId="0" fontId="29" fillId="0" borderId="11" applyNumberFormat="0" applyFill="0" applyAlignment="0" applyProtection="0"/>
    <xf numFmtId="0" fontId="30" fillId="0" borderId="12" applyNumberFormat="0" applyFill="0" applyAlignment="0" applyProtection="0"/>
    <xf numFmtId="0" fontId="30" fillId="0" borderId="0" applyNumberFormat="0" applyFill="0" applyBorder="0" applyAlignment="0" applyProtection="0"/>
    <xf numFmtId="0" fontId="31" fillId="27" borderId="8" applyNumberFormat="0" applyAlignment="0" applyProtection="0"/>
    <xf numFmtId="0" fontId="1" fillId="0" borderId="0"/>
    <xf numFmtId="0" fontId="32" fillId="0" borderId="13" applyNumberFormat="0" applyFill="0" applyAlignment="0" applyProtection="0"/>
    <xf numFmtId="0" fontId="33" fillId="27" borderId="0" applyNumberFormat="0" applyBorder="0" applyAlignment="0" applyProtection="0"/>
    <xf numFmtId="0" fontId="4" fillId="0" borderId="0"/>
    <xf numFmtId="0" fontId="1" fillId="26" borderId="14" applyNumberFormat="0" applyFont="0" applyAlignment="0" applyProtection="0"/>
    <xf numFmtId="0" fontId="34" fillId="28" borderId="15" applyNumberFormat="0" applyAlignment="0" applyProtection="0"/>
    <xf numFmtId="4" fontId="35" fillId="33" borderId="16" applyNumberFormat="0" applyProtection="0">
      <alignment vertical="center"/>
    </xf>
    <xf numFmtId="4" fontId="36" fillId="33" borderId="16" applyNumberFormat="0" applyProtection="0">
      <alignment vertical="center"/>
    </xf>
    <xf numFmtId="4" fontId="35" fillId="33" borderId="16" applyNumberFormat="0" applyProtection="0">
      <alignment horizontal="left" vertical="center" indent="1"/>
    </xf>
    <xf numFmtId="0" fontId="35" fillId="33" borderId="16" applyNumberFormat="0" applyProtection="0">
      <alignment horizontal="left" vertical="top" indent="1"/>
    </xf>
    <xf numFmtId="4" fontId="35" fillId="2" borderId="0" applyNumberFormat="0" applyProtection="0">
      <alignment horizontal="left" vertical="center" indent="1"/>
    </xf>
    <xf numFmtId="4" fontId="18" fillId="7" borderId="16" applyNumberFormat="0" applyProtection="0">
      <alignment horizontal="right" vertical="center"/>
    </xf>
    <xf numFmtId="4" fontId="18" fillId="3" borderId="16" applyNumberFormat="0" applyProtection="0">
      <alignment horizontal="right" vertical="center"/>
    </xf>
    <xf numFmtId="4" fontId="18" fillId="34" borderId="16" applyNumberFormat="0" applyProtection="0">
      <alignment horizontal="right" vertical="center"/>
    </xf>
    <xf numFmtId="4" fontId="18" fillId="35" borderId="16" applyNumberFormat="0" applyProtection="0">
      <alignment horizontal="right" vertical="center"/>
    </xf>
    <xf numFmtId="4" fontId="18" fillId="36" borderId="16" applyNumberFormat="0" applyProtection="0">
      <alignment horizontal="right" vertical="center"/>
    </xf>
    <xf numFmtId="4" fontId="18" fillId="37" borderId="16" applyNumberFormat="0" applyProtection="0">
      <alignment horizontal="right" vertical="center"/>
    </xf>
    <xf numFmtId="4" fontId="18" fillId="9" borderId="16" applyNumberFormat="0" applyProtection="0">
      <alignment horizontal="right" vertical="center"/>
    </xf>
    <xf numFmtId="4" fontId="18" fillId="38" borderId="16" applyNumberFormat="0" applyProtection="0">
      <alignment horizontal="right" vertical="center"/>
    </xf>
    <xf numFmtId="4" fontId="18" fillId="39" borderId="16" applyNumberFormat="0" applyProtection="0">
      <alignment horizontal="right" vertical="center"/>
    </xf>
    <xf numFmtId="4" fontId="35" fillId="40" borderId="17" applyNumberFormat="0" applyProtection="0">
      <alignment horizontal="left" vertical="center" indent="1"/>
    </xf>
    <xf numFmtId="4" fontId="18" fillId="41" borderId="0" applyNumberFormat="0" applyProtection="0">
      <alignment horizontal="left" vertical="center" indent="1"/>
    </xf>
    <xf numFmtId="4" fontId="37" fillId="8" borderId="0" applyNumberFormat="0" applyProtection="0">
      <alignment horizontal="left" vertical="center" indent="1"/>
    </xf>
    <xf numFmtId="4" fontId="18" fillId="2" borderId="16" applyNumberFormat="0" applyProtection="0">
      <alignment horizontal="right" vertical="center"/>
    </xf>
    <xf numFmtId="4" fontId="38" fillId="41" borderId="0" applyNumberFormat="0" applyProtection="0">
      <alignment horizontal="left" vertical="center" indent="1"/>
    </xf>
    <xf numFmtId="4" fontId="38" fillId="2" borderId="0" applyNumberFormat="0" applyProtection="0">
      <alignment horizontal="left" vertical="center" indent="1"/>
    </xf>
    <xf numFmtId="0" fontId="1" fillId="8" borderId="16" applyNumberFormat="0" applyProtection="0">
      <alignment horizontal="left" vertical="center" indent="1"/>
    </xf>
    <xf numFmtId="0" fontId="1" fillId="8" borderId="16" applyNumberFormat="0" applyProtection="0">
      <alignment horizontal="left" vertical="top" indent="1"/>
    </xf>
    <xf numFmtId="0" fontId="1" fillId="2" borderId="16" applyNumberFormat="0" applyProtection="0">
      <alignment horizontal="left" vertical="center" indent="1"/>
    </xf>
    <xf numFmtId="0" fontId="1" fillId="2" borderId="16" applyNumberFormat="0" applyProtection="0">
      <alignment horizontal="left" vertical="top" indent="1"/>
    </xf>
    <xf numFmtId="0" fontId="1" fillId="6" borderId="16" applyNumberFormat="0" applyProtection="0">
      <alignment horizontal="left" vertical="center" indent="1"/>
    </xf>
    <xf numFmtId="0" fontId="1" fillId="6" borderId="16" applyNumberFormat="0" applyProtection="0">
      <alignment horizontal="left" vertical="top" indent="1"/>
    </xf>
    <xf numFmtId="0" fontId="1" fillId="41" borderId="16" applyNumberFormat="0" applyProtection="0">
      <alignment horizontal="left" vertical="center" indent="1"/>
    </xf>
    <xf numFmtId="0" fontId="1" fillId="41" borderId="16" applyNumberFormat="0" applyProtection="0">
      <alignment horizontal="left" vertical="top" indent="1"/>
    </xf>
    <xf numFmtId="0" fontId="1" fillId="5" borderId="18" applyNumberFormat="0">
      <protection locked="0"/>
    </xf>
    <xf numFmtId="4" fontId="18" fillId="4" borderId="16" applyNumberFormat="0" applyProtection="0">
      <alignment vertical="center"/>
    </xf>
    <xf numFmtId="4" fontId="39" fillId="4" borderId="16" applyNumberFormat="0" applyProtection="0">
      <alignment vertical="center"/>
    </xf>
    <xf numFmtId="4" fontId="18" fillId="4" borderId="16" applyNumberFormat="0" applyProtection="0">
      <alignment horizontal="left" vertical="center" indent="1"/>
    </xf>
    <xf numFmtId="0" fontId="18" fillId="4" borderId="16" applyNumberFormat="0" applyProtection="0">
      <alignment horizontal="left" vertical="top" indent="1"/>
    </xf>
    <xf numFmtId="4" fontId="18" fillId="41" borderId="16" applyNumberFormat="0" applyProtection="0">
      <alignment horizontal="right" vertical="center"/>
    </xf>
    <xf numFmtId="4" fontId="39" fillId="41" borderId="16" applyNumberFormat="0" applyProtection="0">
      <alignment horizontal="right" vertical="center"/>
    </xf>
    <xf numFmtId="4" fontId="18" fillId="2" borderId="16" applyNumberFormat="0" applyProtection="0">
      <alignment horizontal="left" vertical="center" indent="1"/>
    </xf>
    <xf numFmtId="0" fontId="18" fillId="2" borderId="16" applyNumberFormat="0" applyProtection="0">
      <alignment horizontal="left" vertical="top" indent="1"/>
    </xf>
    <xf numFmtId="4" fontId="40" fillId="42" borderId="0" applyNumberFormat="0" applyProtection="0">
      <alignment horizontal="left" vertical="center" indent="1"/>
    </xf>
    <xf numFmtId="4" fontId="41" fillId="41" borderId="16" applyNumberFormat="0" applyProtection="0">
      <alignment horizontal="right" vertical="center"/>
    </xf>
    <xf numFmtId="0" fontId="42" fillId="0" borderId="0" applyNumberFormat="0" applyFill="0" applyBorder="0" applyAlignment="0" applyProtection="0"/>
    <xf numFmtId="0" fontId="42" fillId="0" borderId="0" applyNumberFormat="0" applyFill="0" applyBorder="0" applyAlignment="0" applyProtection="0"/>
    <xf numFmtId="0" fontId="25" fillId="0" borderId="19" applyNumberFormat="0" applyFill="0" applyAlignment="0" applyProtection="0"/>
    <xf numFmtId="0" fontId="43" fillId="0" borderId="0" applyNumberFormat="0" applyFill="0" applyBorder="0" applyAlignment="0" applyProtection="0"/>
    <xf numFmtId="0" fontId="1" fillId="0" borderId="0"/>
    <xf numFmtId="0" fontId="1" fillId="0" borderId="0"/>
    <xf numFmtId="0" fontId="52" fillId="0" borderId="0"/>
    <xf numFmtId="0" fontId="55" fillId="0" borderId="0"/>
    <xf numFmtId="0" fontId="4" fillId="0" borderId="0"/>
    <xf numFmtId="0" fontId="1" fillId="0" borderId="0"/>
    <xf numFmtId="0" fontId="4" fillId="0" borderId="0" applyFont="0"/>
    <xf numFmtId="0" fontId="59" fillId="0" borderId="0"/>
    <xf numFmtId="0" fontId="60" fillId="0" borderId="0"/>
    <xf numFmtId="0" fontId="8" fillId="0" borderId="0"/>
    <xf numFmtId="0" fontId="65" fillId="0" borderId="0"/>
    <xf numFmtId="0" fontId="66" fillId="0" borderId="0"/>
    <xf numFmtId="0" fontId="67" fillId="0" borderId="0"/>
    <xf numFmtId="0" fontId="70" fillId="0" borderId="0"/>
    <xf numFmtId="0" fontId="76" fillId="0" borderId="0"/>
    <xf numFmtId="0" fontId="77" fillId="0" borderId="0"/>
    <xf numFmtId="0" fontId="91" fillId="0" borderId="0"/>
    <xf numFmtId="0" fontId="101" fillId="0" borderId="0"/>
    <xf numFmtId="0" fontId="103" fillId="0" borderId="0"/>
    <xf numFmtId="0" fontId="107" fillId="0" borderId="0"/>
  </cellStyleXfs>
  <cellXfs count="464">
    <xf numFmtId="0" fontId="0" fillId="0" borderId="0" xfId="0"/>
    <xf numFmtId="0" fontId="2" fillId="0" borderId="0" xfId="1" applyFont="1" applyFill="1"/>
    <xf numFmtId="4" fontId="5" fillId="0" borderId="0" xfId="2" applyNumberFormat="1" applyFont="1" applyFill="1"/>
    <xf numFmtId="4" fontId="2" fillId="0" borderId="0" xfId="2" applyNumberFormat="1" applyFont="1" applyFill="1"/>
    <xf numFmtId="4" fontId="2" fillId="0" borderId="0" xfId="2" applyNumberFormat="1" applyFont="1" applyFill="1" applyBorder="1"/>
    <xf numFmtId="4" fontId="9" fillId="0" borderId="0" xfId="3" applyNumberFormat="1" applyFont="1" applyFill="1" applyBorder="1" applyAlignment="1">
      <alignment horizontal="center" vertical="center" wrapText="1"/>
    </xf>
    <xf numFmtId="3" fontId="11" fillId="0" borderId="0" xfId="2" applyNumberFormat="1" applyFont="1" applyFill="1" applyBorder="1" applyAlignment="1">
      <alignment horizontal="center" vertical="center" wrapText="1"/>
    </xf>
    <xf numFmtId="3" fontId="12" fillId="0" borderId="0" xfId="2" applyNumberFormat="1" applyFont="1" applyFill="1" applyBorder="1" applyAlignment="1">
      <alignment horizontal="center" vertical="center" wrapText="1"/>
    </xf>
    <xf numFmtId="4" fontId="6" fillId="0" borderId="0" xfId="1" applyNumberFormat="1" applyFont="1" applyFill="1" applyBorder="1" applyAlignment="1">
      <alignment vertical="top"/>
    </xf>
    <xf numFmtId="4" fontId="5" fillId="0" borderId="0" xfId="1" applyNumberFormat="1" applyFont="1" applyFill="1" applyBorder="1" applyAlignment="1">
      <alignment horizontal="center" vertical="top"/>
    </xf>
    <xf numFmtId="4" fontId="14" fillId="0" borderId="0" xfId="1" applyNumberFormat="1" applyFont="1" applyFill="1" applyBorder="1" applyAlignment="1">
      <alignment vertical="top"/>
    </xf>
    <xf numFmtId="4" fontId="14" fillId="0" borderId="0" xfId="1" applyNumberFormat="1" applyFont="1" applyFill="1" applyBorder="1" applyAlignment="1">
      <alignment horizontal="center" vertical="top"/>
    </xf>
    <xf numFmtId="4" fontId="15" fillId="0" borderId="0" xfId="2" applyNumberFormat="1" applyFont="1" applyFill="1"/>
    <xf numFmtId="4" fontId="5" fillId="0" borderId="0" xfId="1" applyNumberFormat="1" applyFont="1" applyFill="1" applyBorder="1" applyAlignment="1">
      <alignment vertical="top"/>
    </xf>
    <xf numFmtId="4" fontId="2" fillId="0" borderId="0" xfId="1" applyNumberFormat="1" applyFont="1" applyFill="1" applyBorder="1" applyAlignment="1">
      <alignment vertical="top"/>
    </xf>
    <xf numFmtId="4" fontId="2" fillId="0" borderId="0" xfId="1" applyNumberFormat="1" applyFont="1" applyFill="1" applyBorder="1" applyAlignment="1">
      <alignment horizontal="center" vertical="top"/>
    </xf>
    <xf numFmtId="4" fontId="5" fillId="0" borderId="0" xfId="1" applyNumberFormat="1" applyFont="1" applyFill="1" applyBorder="1"/>
    <xf numFmtId="3" fontId="2" fillId="0" borderId="0" xfId="1" applyNumberFormat="1" applyFont="1" applyFill="1" applyBorder="1" applyAlignment="1">
      <alignment horizontal="right" vertical="center"/>
    </xf>
    <xf numFmtId="3" fontId="5" fillId="0" borderId="0" xfId="1" applyNumberFormat="1" applyFont="1" applyFill="1" applyBorder="1" applyAlignment="1">
      <alignment horizontal="right" vertical="center"/>
    </xf>
    <xf numFmtId="0" fontId="5" fillId="0" borderId="0" xfId="4" applyFont="1" applyFill="1" applyBorder="1" applyAlignment="1">
      <alignment vertical="top" wrapText="1"/>
    </xf>
    <xf numFmtId="0" fontId="16" fillId="0" borderId="0" xfId="4" applyFont="1" applyFill="1" applyBorder="1"/>
    <xf numFmtId="4" fontId="3" fillId="0" borderId="0" xfId="1" applyNumberFormat="1" applyFont="1" applyFill="1" applyBorder="1" applyAlignment="1">
      <alignment horizontal="center" vertical="top"/>
    </xf>
    <xf numFmtId="0" fontId="5" fillId="0" borderId="0" xfId="4" applyFont="1" applyFill="1" applyBorder="1" applyAlignment="1">
      <alignment horizontal="left" vertical="top" wrapText="1"/>
    </xf>
    <xf numFmtId="0" fontId="5" fillId="0" borderId="0" xfId="4" applyFont="1" applyFill="1" applyBorder="1" applyAlignment="1">
      <alignment vertical="top"/>
    </xf>
    <xf numFmtId="0" fontId="16" fillId="0" borderId="0" xfId="4" applyFont="1" applyFill="1" applyBorder="1" applyAlignment="1">
      <alignment vertical="top"/>
    </xf>
    <xf numFmtId="4" fontId="7" fillId="0" borderId="0" xfId="1" applyNumberFormat="1" applyFont="1" applyFill="1" applyBorder="1" applyAlignment="1">
      <alignment horizontal="center" vertical="top"/>
    </xf>
    <xf numFmtId="4" fontId="5" fillId="0" borderId="0" xfId="1" applyNumberFormat="1" applyFont="1" applyFill="1" applyBorder="1" applyAlignment="1">
      <alignment vertical="top" wrapText="1"/>
    </xf>
    <xf numFmtId="4" fontId="16" fillId="0" borderId="0" xfId="1" applyNumberFormat="1" applyFont="1" applyFill="1" applyBorder="1" applyAlignment="1">
      <alignment vertical="top" wrapText="1"/>
    </xf>
    <xf numFmtId="0" fontId="2" fillId="0" borderId="0" xfId="4" applyFont="1" applyFill="1" applyBorder="1" applyAlignment="1">
      <alignment horizontal="center"/>
    </xf>
    <xf numFmtId="0" fontId="2" fillId="0" borderId="0" xfId="4" applyFont="1" applyFill="1" applyBorder="1" applyAlignment="1">
      <alignment horizontal="right" vertical="center"/>
    </xf>
    <xf numFmtId="0" fontId="5" fillId="0" borderId="0" xfId="4" applyFont="1" applyFill="1" applyBorder="1" applyAlignment="1">
      <alignment horizontal="right" vertical="center"/>
    </xf>
    <xf numFmtId="4" fontId="2" fillId="0" borderId="0" xfId="2" applyNumberFormat="1" applyFont="1" applyFill="1" applyAlignment="1">
      <alignment horizontal="right" vertical="center"/>
    </xf>
    <xf numFmtId="4" fontId="10" fillId="0" borderId="7" xfId="6" applyNumberFormat="1" applyFont="1" applyFill="1" applyBorder="1" applyAlignment="1">
      <alignment vertical="center"/>
    </xf>
    <xf numFmtId="4" fontId="10" fillId="0" borderId="7" xfId="6" applyNumberFormat="1" applyFont="1" applyFill="1" applyBorder="1" applyAlignment="1">
      <alignment horizontal="center" vertical="center"/>
    </xf>
    <xf numFmtId="0" fontId="2" fillId="0" borderId="0" xfId="4" applyFont="1" applyFill="1"/>
    <xf numFmtId="4" fontId="2" fillId="0" borderId="0" xfId="2" applyNumberFormat="1" applyFont="1" applyFill="1" applyAlignment="1">
      <alignment horizontal="right"/>
    </xf>
    <xf numFmtId="4" fontId="7" fillId="0" borderId="0" xfId="2" applyNumberFormat="1" applyFont="1" applyFill="1"/>
    <xf numFmtId="164" fontId="2" fillId="0" borderId="0" xfId="2" applyNumberFormat="1" applyFont="1" applyFill="1"/>
    <xf numFmtId="3" fontId="2" fillId="0" borderId="0" xfId="2" applyNumberFormat="1" applyFont="1" applyFill="1"/>
    <xf numFmtId="3" fontId="3" fillId="0" borderId="0" xfId="2" applyNumberFormat="1" applyFont="1" applyFill="1" applyProtection="1">
      <protection hidden="1"/>
    </xf>
    <xf numFmtId="4" fontId="3" fillId="0" borderId="0" xfId="2" applyNumberFormat="1" applyFont="1" applyFill="1"/>
    <xf numFmtId="3" fontId="5" fillId="0" borderId="0" xfId="2" applyNumberFormat="1" applyFont="1" applyFill="1"/>
    <xf numFmtId="164" fontId="10" fillId="0" borderId="0" xfId="1" applyNumberFormat="1" applyFont="1" applyFill="1" applyBorder="1" applyAlignment="1">
      <alignment horizontal="right" vertical="center"/>
    </xf>
    <xf numFmtId="4" fontId="17" fillId="0" borderId="0" xfId="2" applyNumberFormat="1" applyFont="1" applyFill="1"/>
    <xf numFmtId="0" fontId="5" fillId="0" borderId="0" xfId="1" applyFont="1" applyFill="1"/>
    <xf numFmtId="1" fontId="17" fillId="0" borderId="0" xfId="1" applyNumberFormat="1" applyFont="1" applyFill="1"/>
    <xf numFmtId="1" fontId="2" fillId="0" borderId="0" xfId="1" applyNumberFormat="1" applyFont="1" applyFill="1"/>
    <xf numFmtId="0" fontId="17" fillId="0" borderId="0" xfId="1" applyFont="1" applyFill="1"/>
    <xf numFmtId="0" fontId="45" fillId="0" borderId="0" xfId="1" applyFont="1" applyFill="1"/>
    <xf numFmtId="4" fontId="10" fillId="0" borderId="0" xfId="5" applyNumberFormat="1" applyFont="1" applyFill="1" applyBorder="1"/>
    <xf numFmtId="0" fontId="2" fillId="0" borderId="0" xfId="62" applyFont="1"/>
    <xf numFmtId="0" fontId="2" fillId="0" borderId="0" xfId="62" applyFont="1" applyAlignment="1">
      <alignment horizontal="right"/>
    </xf>
    <xf numFmtId="0" fontId="47" fillId="0" borderId="0" xfId="0" applyFont="1"/>
    <xf numFmtId="0" fontId="2" fillId="0" borderId="0" xfId="62" applyFont="1" applyAlignment="1"/>
    <xf numFmtId="0" fontId="2" fillId="0" borderId="0" xfId="62" applyFont="1" applyAlignment="1">
      <alignment horizontal="justify"/>
    </xf>
    <xf numFmtId="0" fontId="2" fillId="0" borderId="0" xfId="62" applyFont="1" applyAlignment="1">
      <alignment horizontal="center"/>
    </xf>
    <xf numFmtId="49" fontId="2" fillId="0" borderId="0" xfId="62" applyNumberFormat="1" applyFont="1" applyAlignment="1"/>
    <xf numFmtId="0" fontId="49" fillId="0" borderId="0" xfId="62" applyFont="1"/>
    <xf numFmtId="0" fontId="6" fillId="0" borderId="0" xfId="62" applyFont="1"/>
    <xf numFmtId="0" fontId="2" fillId="0" borderId="0" xfId="115" applyFont="1"/>
    <xf numFmtId="0" fontId="2" fillId="0" borderId="0" xfId="115" applyFont="1" applyAlignment="1">
      <alignment wrapText="1"/>
    </xf>
    <xf numFmtId="0" fontId="2" fillId="0" borderId="0" xfId="115" applyNumberFormat="1" applyFont="1" applyAlignment="1">
      <alignment horizontal="left" vertical="justify" wrapText="1"/>
    </xf>
    <xf numFmtId="0" fontId="2" fillId="0" borderId="0" xfId="115" applyFont="1" applyBorder="1"/>
    <xf numFmtId="0" fontId="2" fillId="0" borderId="0" xfId="116" applyFont="1"/>
    <xf numFmtId="0" fontId="2" fillId="0" borderId="0" xfId="117" applyFont="1"/>
    <xf numFmtId="0" fontId="2" fillId="0" borderId="0" xfId="117" applyFont="1" applyAlignment="1">
      <alignment vertical="center"/>
    </xf>
    <xf numFmtId="0" fontId="2" fillId="0" borderId="0" xfId="117" applyFont="1" applyFill="1"/>
    <xf numFmtId="4" fontId="17" fillId="0" borderId="0" xfId="2" applyNumberFormat="1" applyFont="1" applyFill="1" applyAlignment="1">
      <alignment horizontal="center" vertical="top"/>
    </xf>
    <xf numFmtId="0" fontId="17" fillId="0" borderId="0" xfId="4" applyFont="1" applyFill="1" applyAlignment="1">
      <alignment horizontal="center" vertical="top"/>
    </xf>
    <xf numFmtId="3" fontId="2" fillId="0" borderId="0" xfId="1" applyNumberFormat="1" applyFont="1" applyFill="1"/>
    <xf numFmtId="4" fontId="10" fillId="0" borderId="0" xfId="5" applyNumberFormat="1" applyFont="1" applyFill="1" applyBorder="1" applyAlignment="1">
      <alignment vertical="top" wrapText="1"/>
    </xf>
    <xf numFmtId="0" fontId="48" fillId="0" borderId="0" xfId="117" applyFont="1"/>
    <xf numFmtId="0" fontId="62" fillId="0" borderId="0" xfId="117" applyFont="1"/>
    <xf numFmtId="0" fontId="63" fillId="0" borderId="0" xfId="117" applyFont="1"/>
    <xf numFmtId="3" fontId="56" fillId="0" borderId="0" xfId="117" applyNumberFormat="1" applyFont="1" applyFill="1" applyBorder="1" applyAlignment="1">
      <alignment horizontal="right"/>
    </xf>
    <xf numFmtId="0" fontId="62" fillId="0" borderId="0" xfId="117" applyFont="1" applyFill="1"/>
    <xf numFmtId="0" fontId="48" fillId="0" borderId="0" xfId="117" applyFont="1" applyFill="1"/>
    <xf numFmtId="0" fontId="57" fillId="0" borderId="0" xfId="117" applyFont="1" applyFill="1"/>
    <xf numFmtId="0" fontId="58" fillId="0" borderId="2" xfId="117" applyFont="1" applyFill="1" applyBorder="1"/>
    <xf numFmtId="0" fontId="9" fillId="0" borderId="21" xfId="117" applyFont="1" applyFill="1" applyBorder="1" applyAlignment="1">
      <alignment horizontal="center" vertical="center"/>
    </xf>
    <xf numFmtId="0" fontId="49" fillId="0" borderId="6" xfId="117" applyFont="1" applyFill="1" applyBorder="1" applyAlignment="1">
      <alignment vertical="center"/>
    </xf>
    <xf numFmtId="0" fontId="9" fillId="0" borderId="22" xfId="117" applyFont="1" applyFill="1" applyBorder="1" applyAlignment="1">
      <alignment horizontal="center" vertical="center"/>
    </xf>
    <xf numFmtId="0" fontId="9" fillId="0" borderId="0" xfId="117" applyFont="1" applyFill="1" applyAlignment="1">
      <alignment vertical="center" wrapText="1"/>
    </xf>
    <xf numFmtId="3" fontId="9" fillId="0" borderId="0" xfId="117" applyNumberFormat="1" applyFont="1" applyFill="1" applyAlignment="1">
      <alignment vertical="center"/>
    </xf>
    <xf numFmtId="0" fontId="2" fillId="0" borderId="0" xfId="62" applyFont="1" applyFill="1" applyAlignment="1">
      <alignment horizontal="left" vertical="top" wrapText="1"/>
    </xf>
    <xf numFmtId="3" fontId="2" fillId="0" borderId="2" xfId="62" applyNumberFormat="1" applyFont="1" applyBorder="1"/>
    <xf numFmtId="3" fontId="2" fillId="0" borderId="6" xfId="62" applyNumberFormat="1" applyFont="1" applyBorder="1"/>
    <xf numFmtId="3" fontId="46" fillId="0" borderId="0" xfId="62" applyNumberFormat="1" applyFont="1" applyAlignment="1">
      <alignment horizontal="left" vertical="top"/>
    </xf>
    <xf numFmtId="3" fontId="2" fillId="0" borderId="0" xfId="62" applyNumberFormat="1" applyFont="1" applyAlignment="1">
      <alignment horizontal="left" vertical="top"/>
    </xf>
    <xf numFmtId="3" fontId="2" fillId="0" borderId="0" xfId="62" applyNumberFormat="1" applyFont="1" applyAlignment="1">
      <alignment vertical="top"/>
    </xf>
    <xf numFmtId="3" fontId="2" fillId="0" borderId="0" xfId="62" applyNumberFormat="1" applyFont="1" applyAlignment="1">
      <alignment vertical="top" wrapText="1"/>
    </xf>
    <xf numFmtId="3" fontId="2" fillId="0" borderId="0" xfId="62" applyNumberFormat="1" applyFont="1" applyFill="1" applyAlignment="1">
      <alignment horizontal="left" vertical="top" wrapText="1"/>
    </xf>
    <xf numFmtId="0" fontId="2" fillId="0" borderId="0" xfId="62" applyFont="1" applyFill="1" applyAlignment="1">
      <alignment vertical="top" wrapText="1"/>
    </xf>
    <xf numFmtId="0" fontId="2" fillId="0" borderId="0" xfId="62" applyFont="1" applyAlignment="1">
      <alignment horizontal="left" vertical="center"/>
    </xf>
    <xf numFmtId="0" fontId="2" fillId="0" borderId="0" xfId="62" applyFont="1" applyAlignment="1">
      <alignment horizontal="left" vertical="top" wrapText="1"/>
    </xf>
    <xf numFmtId="3" fontId="16" fillId="0" borderId="0" xfId="62" applyNumberFormat="1" applyFont="1" applyAlignment="1">
      <alignment horizontal="left" vertical="top" wrapText="1"/>
    </xf>
    <xf numFmtId="0" fontId="2" fillId="0" borderId="0" xfId="62" applyFont="1" applyFill="1" applyAlignment="1">
      <alignment horizontal="left" vertical="center" wrapText="1"/>
    </xf>
    <xf numFmtId="0" fontId="2" fillId="0" borderId="0" xfId="62" applyFont="1" applyFill="1" applyAlignment="1">
      <alignment horizontal="left" vertical="top"/>
    </xf>
    <xf numFmtId="3" fontId="2" fillId="0" borderId="0" xfId="62" applyNumberFormat="1" applyFont="1" applyAlignment="1">
      <alignment horizontal="left" vertical="top" wrapText="1"/>
    </xf>
    <xf numFmtId="3" fontId="46" fillId="0" borderId="0" xfId="62" applyNumberFormat="1" applyFont="1" applyAlignment="1">
      <alignment horizontal="left" vertical="top" wrapText="1"/>
    </xf>
    <xf numFmtId="3" fontId="2" fillId="0" borderId="0" xfId="62" applyNumberFormat="1" applyFont="1" applyFill="1" applyAlignment="1">
      <alignment horizontal="left" vertical="center" wrapText="1"/>
    </xf>
    <xf numFmtId="0" fontId="2" fillId="0" borderId="0" xfId="62" applyFont="1" applyAlignment="1">
      <alignment horizontal="left" vertical="top"/>
    </xf>
    <xf numFmtId="0" fontId="2" fillId="0" borderId="0" xfId="62" applyFont="1" applyAlignment="1">
      <alignment vertical="top" wrapText="1"/>
    </xf>
    <xf numFmtId="0" fontId="6" fillId="0" borderId="0" xfId="62" applyFont="1" applyAlignment="1">
      <alignment horizontal="center"/>
    </xf>
    <xf numFmtId="4" fontId="7" fillId="0" borderId="0" xfId="2" applyNumberFormat="1" applyFont="1" applyFill="1" applyBorder="1" applyAlignment="1">
      <alignment horizontal="center" vertical="center" wrapText="1"/>
    </xf>
    <xf numFmtId="4" fontId="10" fillId="0" borderId="0" xfId="3" applyNumberFormat="1" applyFont="1" applyFill="1" applyBorder="1" applyAlignment="1">
      <alignment horizontal="center" vertical="center" wrapText="1"/>
    </xf>
    <xf numFmtId="0" fontId="49" fillId="0" borderId="0" xfId="0" applyFont="1"/>
    <xf numFmtId="3" fontId="46" fillId="0" borderId="0" xfId="62" applyNumberFormat="1" applyFont="1" applyAlignment="1">
      <alignment horizontal="left" vertical="center" wrapText="1"/>
    </xf>
    <xf numFmtId="3" fontId="10" fillId="0" borderId="7" xfId="62" applyNumberFormat="1" applyFont="1" applyBorder="1" applyAlignment="1">
      <alignment horizontal="left" vertical="center"/>
    </xf>
    <xf numFmtId="3" fontId="48" fillId="0" borderId="0" xfId="117" applyNumberFormat="1" applyFont="1" applyFill="1" applyBorder="1" applyAlignment="1">
      <alignment horizontal="right" vertical="center"/>
    </xf>
    <xf numFmtId="0" fontId="48" fillId="0" borderId="0" xfId="117" applyFont="1" applyFill="1" applyAlignment="1">
      <alignment horizontal="right" vertical="center"/>
    </xf>
    <xf numFmtId="3" fontId="9" fillId="0" borderId="0" xfId="117" applyNumberFormat="1" applyFont="1" applyFill="1" applyAlignment="1">
      <alignment horizontal="right"/>
    </xf>
    <xf numFmtId="0" fontId="10" fillId="0" borderId="21" xfId="117" applyFont="1" applyFill="1" applyBorder="1" applyAlignment="1">
      <alignment horizontal="center" vertical="center"/>
    </xf>
    <xf numFmtId="0" fontId="10" fillId="0" borderId="22" xfId="117" applyFont="1" applyFill="1" applyBorder="1" applyAlignment="1">
      <alignment horizontal="center" vertical="center"/>
    </xf>
    <xf numFmtId="4" fontId="5" fillId="0" borderId="20" xfId="2" applyNumberFormat="1" applyFont="1" applyFill="1" applyBorder="1"/>
    <xf numFmtId="4" fontId="2" fillId="0" borderId="20" xfId="2" applyNumberFormat="1" applyFont="1" applyFill="1" applyBorder="1"/>
    <xf numFmtId="4" fontId="2" fillId="0" borderId="0" xfId="2" applyNumberFormat="1" applyFont="1" applyFill="1" applyBorder="1" applyAlignment="1">
      <alignment horizontal="center" vertical="center"/>
    </xf>
    <xf numFmtId="4" fontId="13" fillId="0" borderId="0" xfId="2" applyNumberFormat="1" applyFont="1" applyFill="1" applyBorder="1"/>
    <xf numFmtId="4" fontId="14" fillId="0" borderId="0" xfId="2" applyNumberFormat="1" applyFont="1" applyFill="1" applyBorder="1" applyAlignment="1">
      <alignment horizontal="center" vertical="center"/>
    </xf>
    <xf numFmtId="4" fontId="2" fillId="0" borderId="0" xfId="2" applyNumberFormat="1" applyFont="1" applyFill="1" applyAlignment="1">
      <alignment wrapText="1"/>
    </xf>
    <xf numFmtId="4" fontId="2" fillId="0" borderId="0" xfId="2" applyNumberFormat="1" applyFont="1" applyFill="1" applyAlignment="1"/>
    <xf numFmtId="4" fontId="2" fillId="0" borderId="0" xfId="2" applyNumberFormat="1" applyFont="1" applyFill="1" applyAlignment="1">
      <alignment vertical="center"/>
    </xf>
    <xf numFmtId="3" fontId="45" fillId="0" borderId="0" xfId="2" applyNumberFormat="1" applyFont="1" applyFill="1"/>
    <xf numFmtId="4" fontId="6" fillId="0" borderId="0" xfId="2" applyNumberFormat="1" applyFont="1" applyFill="1"/>
    <xf numFmtId="3" fontId="45" fillId="0" borderId="0" xfId="2" applyNumberFormat="1" applyFont="1" applyFill="1" applyProtection="1">
      <protection hidden="1"/>
    </xf>
    <xf numFmtId="3" fontId="12" fillId="0" borderId="0" xfId="2" applyNumberFormat="1" applyFont="1" applyFill="1"/>
    <xf numFmtId="2" fontId="7" fillId="0" borderId="0" xfId="2" applyNumberFormat="1" applyFont="1" applyFill="1" applyBorder="1" applyProtection="1">
      <protection hidden="1"/>
    </xf>
    <xf numFmtId="2" fontId="3" fillId="0" borderId="0" xfId="2" applyNumberFormat="1" applyFont="1" applyFill="1" applyBorder="1" applyProtection="1">
      <protection hidden="1"/>
    </xf>
    <xf numFmtId="4" fontId="15" fillId="0" borderId="0" xfId="2" applyNumberFormat="1" applyFont="1" applyFill="1" applyAlignment="1">
      <alignment vertical="top"/>
    </xf>
    <xf numFmtId="4" fontId="11" fillId="0" borderId="0" xfId="2" applyNumberFormat="1" applyFont="1" applyFill="1"/>
    <xf numFmtId="4" fontId="5" fillId="0" borderId="0" xfId="2" applyNumberFormat="1" applyFont="1" applyFill="1" applyAlignment="1"/>
    <xf numFmtId="2" fontId="7" fillId="0" borderId="0" xfId="2" applyNumberFormat="1" applyFont="1" applyFill="1" applyProtection="1">
      <protection hidden="1"/>
    </xf>
    <xf numFmtId="2" fontId="3" fillId="0" borderId="0" xfId="2" applyNumberFormat="1" applyFont="1" applyFill="1" applyProtection="1">
      <protection hidden="1"/>
    </xf>
    <xf numFmtId="4" fontId="14" fillId="0" borderId="0" xfId="2" applyNumberFormat="1" applyFont="1" applyFill="1" applyAlignment="1"/>
    <xf numFmtId="4" fontId="11" fillId="0" borderId="0" xfId="2" applyNumberFormat="1" applyFont="1" applyFill="1" applyAlignment="1">
      <alignment horizontal="right"/>
    </xf>
    <xf numFmtId="2" fontId="11" fillId="0" borderId="0" xfId="2" applyNumberFormat="1" applyFont="1" applyFill="1" applyProtection="1">
      <protection hidden="1"/>
    </xf>
    <xf numFmtId="2" fontId="12" fillId="0" borderId="0" xfId="2" applyNumberFormat="1" applyFont="1" applyFill="1" applyProtection="1">
      <protection hidden="1"/>
    </xf>
    <xf numFmtId="4" fontId="5" fillId="0" borderId="0" xfId="2" applyNumberFormat="1" applyFont="1" applyFill="1" applyAlignment="1">
      <alignment wrapText="1"/>
    </xf>
    <xf numFmtId="3" fontId="7" fillId="0" borderId="0" xfId="2" applyNumberFormat="1" applyFont="1" applyFill="1"/>
    <xf numFmtId="4" fontId="7" fillId="0" borderId="0" xfId="2" applyNumberFormat="1" applyFont="1" applyFill="1" applyProtection="1">
      <protection hidden="1"/>
    </xf>
    <xf numFmtId="4" fontId="17" fillId="0" borderId="0" xfId="2" applyNumberFormat="1" applyFont="1" applyFill="1" applyBorder="1" applyAlignment="1">
      <alignment horizontal="center" vertical="center" wrapText="1"/>
    </xf>
    <xf numFmtId="4" fontId="14" fillId="0" borderId="0" xfId="2" applyNumberFormat="1" applyFont="1" applyFill="1"/>
    <xf numFmtId="0" fontId="2" fillId="0" borderId="0" xfId="4" applyFont="1" applyFill="1" applyAlignment="1">
      <alignment vertical="center"/>
    </xf>
    <xf numFmtId="0" fontId="17" fillId="0" borderId="0" xfId="4" applyFont="1" applyFill="1" applyAlignment="1">
      <alignment horizontal="center" vertical="center"/>
    </xf>
    <xf numFmtId="4" fontId="17" fillId="0" borderId="0" xfId="2" applyNumberFormat="1" applyFont="1" applyFill="1" applyAlignment="1">
      <alignment horizontal="center" vertical="center"/>
    </xf>
    <xf numFmtId="3" fontId="56" fillId="0" borderId="0" xfId="117" applyNumberFormat="1" applyFont="1" applyFill="1" applyAlignment="1">
      <alignment vertical="center"/>
    </xf>
    <xf numFmtId="0" fontId="64" fillId="0" borderId="0" xfId="62" applyFont="1" applyAlignment="1">
      <alignment horizontal="left" wrapText="1"/>
    </xf>
    <xf numFmtId="164" fontId="2" fillId="0" borderId="0" xfId="1" applyNumberFormat="1" applyFont="1" applyFill="1"/>
    <xf numFmtId="0" fontId="7" fillId="0" borderId="0" xfId="1" applyFont="1" applyFill="1"/>
    <xf numFmtId="4" fontId="7" fillId="0" borderId="0" xfId="1" applyNumberFormat="1" applyFont="1" applyFill="1"/>
    <xf numFmtId="4" fontId="3" fillId="0" borderId="0" xfId="1" applyNumberFormat="1" applyFont="1" applyFill="1"/>
    <xf numFmtId="4" fontId="5" fillId="0" borderId="0" xfId="1" applyNumberFormat="1" applyFont="1" applyFill="1"/>
    <xf numFmtId="4" fontId="2" fillId="0" borderId="0" xfId="1" applyNumberFormat="1" applyFont="1" applyFill="1"/>
    <xf numFmtId="3" fontId="15" fillId="0" borderId="0" xfId="1"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3" fillId="0" borderId="0" xfId="1" applyNumberFormat="1" applyFont="1" applyFill="1" applyBorder="1" applyAlignment="1">
      <alignment horizontal="right" vertical="top"/>
    </xf>
    <xf numFmtId="3" fontId="15" fillId="0" borderId="0" xfId="4" applyNumberFormat="1" applyFont="1" applyFill="1" applyBorder="1" applyAlignment="1">
      <alignment horizontal="right" vertical="center"/>
    </xf>
    <xf numFmtId="3" fontId="15" fillId="0" borderId="0" xfId="4" applyNumberFormat="1" applyFont="1" applyFill="1" applyBorder="1" applyAlignment="1">
      <alignment horizontal="right" vertical="top"/>
    </xf>
    <xf numFmtId="3" fontId="2" fillId="0" borderId="0" xfId="4" applyNumberFormat="1" applyFont="1" applyFill="1" applyBorder="1" applyAlignment="1">
      <alignment horizontal="right" vertical="top"/>
    </xf>
    <xf numFmtId="3" fontId="3" fillId="0" borderId="0" xfId="5" applyNumberFormat="1" applyFont="1" applyFill="1" applyAlignment="1">
      <alignment horizontal="right" vertical="top"/>
    </xf>
    <xf numFmtId="3" fontId="12" fillId="0" borderId="0" xfId="4" applyNumberFormat="1" applyFont="1" applyFill="1" applyBorder="1" applyAlignment="1">
      <alignment horizontal="right" vertical="top"/>
    </xf>
    <xf numFmtId="3" fontId="11" fillId="0" borderId="0" xfId="4" applyNumberFormat="1" applyFont="1" applyFill="1" applyBorder="1" applyAlignment="1">
      <alignment horizontal="right" vertical="top"/>
    </xf>
    <xf numFmtId="3" fontId="3" fillId="0" borderId="0" xfId="2" applyNumberFormat="1" applyFont="1" applyFill="1" applyAlignment="1">
      <alignment horizontal="right" vertical="top"/>
    </xf>
    <xf numFmtId="0" fontId="9" fillId="0" borderId="0" xfId="117" applyFont="1" applyFill="1" applyAlignment="1">
      <alignment vertical="center"/>
    </xf>
    <xf numFmtId="3" fontId="51" fillId="0" borderId="0" xfId="117" applyNumberFormat="1" applyFont="1" applyFill="1" applyAlignment="1">
      <alignment vertical="center"/>
    </xf>
    <xf numFmtId="3" fontId="10" fillId="0" borderId="0" xfId="117" applyNumberFormat="1" applyFont="1" applyFill="1" applyAlignment="1">
      <alignment vertical="center"/>
    </xf>
    <xf numFmtId="3" fontId="2" fillId="0" borderId="0" xfId="117" applyNumberFormat="1" applyFont="1" applyAlignment="1">
      <alignment vertical="center"/>
    </xf>
    <xf numFmtId="0" fontId="6" fillId="0" borderId="0" xfId="117" applyFont="1" applyFill="1" applyAlignment="1">
      <alignment vertical="center"/>
    </xf>
    <xf numFmtId="3" fontId="48" fillId="0" borderId="0" xfId="117" applyNumberFormat="1" applyFont="1" applyFill="1" applyAlignment="1">
      <alignment vertical="center"/>
    </xf>
    <xf numFmtId="3" fontId="47" fillId="0" borderId="0" xfId="117" applyNumberFormat="1" applyFont="1" applyFill="1" applyAlignment="1">
      <alignment vertical="center"/>
    </xf>
    <xf numFmtId="0" fontId="48" fillId="0" borderId="0" xfId="117" applyFont="1" applyFill="1" applyAlignment="1">
      <alignment vertical="center"/>
    </xf>
    <xf numFmtId="3" fontId="63" fillId="0" borderId="0" xfId="117" applyNumberFormat="1" applyFont="1" applyFill="1" applyAlignment="1">
      <alignment vertical="center"/>
    </xf>
    <xf numFmtId="3" fontId="68" fillId="0" borderId="0" xfId="117" applyNumberFormat="1" applyFont="1" applyFill="1" applyAlignment="1">
      <alignment vertical="center"/>
    </xf>
    <xf numFmtId="0" fontId="63" fillId="0" borderId="0" xfId="117" applyFont="1" applyFill="1"/>
    <xf numFmtId="0" fontId="71" fillId="0" borderId="0" xfId="117" applyFont="1" applyFill="1"/>
    <xf numFmtId="3" fontId="72" fillId="0" borderId="0" xfId="117" applyNumberFormat="1" applyFont="1" applyFill="1" applyAlignment="1">
      <alignment vertical="center"/>
    </xf>
    <xf numFmtId="0" fontId="56" fillId="0" borderId="0" xfId="117" applyFont="1" applyFill="1" applyAlignment="1">
      <alignment vertical="center"/>
    </xf>
    <xf numFmtId="0" fontId="50" fillId="0" borderId="0" xfId="117" applyFont="1" applyFill="1" applyAlignment="1">
      <alignment vertical="center"/>
    </xf>
    <xf numFmtId="0" fontId="49" fillId="0" borderId="0" xfId="117" applyFont="1" applyFill="1" applyAlignment="1">
      <alignment vertical="center"/>
    </xf>
    <xf numFmtId="0" fontId="51" fillId="0" borderId="0" xfId="117" applyFont="1" applyFill="1" applyAlignment="1">
      <alignment vertical="center"/>
    </xf>
    <xf numFmtId="0" fontId="56" fillId="0" borderId="0" xfId="117" applyFont="1" applyFill="1" applyAlignment="1">
      <alignment vertical="center" wrapText="1"/>
    </xf>
    <xf numFmtId="0" fontId="56" fillId="0" borderId="22" xfId="117" applyFont="1" applyFill="1" applyBorder="1" applyAlignment="1">
      <alignment horizontal="center" vertical="center"/>
    </xf>
    <xf numFmtId="0" fontId="56" fillId="0" borderId="21" xfId="117" applyFont="1" applyFill="1" applyBorder="1" applyAlignment="1">
      <alignment horizontal="center" vertical="center"/>
    </xf>
    <xf numFmtId="0" fontId="69" fillId="0" borderId="0" xfId="117" applyFont="1" applyFill="1" applyAlignment="1">
      <alignment vertical="center"/>
    </xf>
    <xf numFmtId="0" fontId="56" fillId="0" borderId="0" xfId="117" applyFont="1" applyFill="1" applyAlignment="1">
      <alignment horizontal="left" vertical="center" wrapText="1"/>
    </xf>
    <xf numFmtId="0" fontId="73" fillId="0" borderId="0" xfId="115" applyFont="1" applyFill="1" applyAlignment="1">
      <alignment horizontal="center"/>
    </xf>
    <xf numFmtId="0" fontId="2" fillId="0" borderId="18" xfId="115" applyFont="1" applyFill="1" applyBorder="1" applyAlignment="1">
      <alignment horizontal="center" vertical="center" wrapText="1"/>
    </xf>
    <xf numFmtId="0" fontId="5" fillId="0" borderId="18" xfId="115" applyFont="1" applyBorder="1" applyAlignment="1">
      <alignment horizontal="center"/>
    </xf>
    <xf numFmtId="2" fontId="5" fillId="0" borderId="18" xfId="115" applyNumberFormat="1" applyFont="1" applyFill="1" applyBorder="1" applyAlignment="1">
      <alignment horizontal="center"/>
    </xf>
    <xf numFmtId="166" fontId="5" fillId="0" borderId="18" xfId="115" applyNumberFormat="1" applyFont="1" applyFill="1" applyBorder="1" applyAlignment="1">
      <alignment horizontal="center"/>
    </xf>
    <xf numFmtId="2" fontId="5" fillId="0" borderId="18" xfId="115" applyNumberFormat="1" applyFont="1" applyFill="1" applyBorder="1" applyAlignment="1">
      <alignment horizontal="center" vertical="center"/>
    </xf>
    <xf numFmtId="0" fontId="73" fillId="0" borderId="0" xfId="115" applyFont="1" applyFill="1" applyBorder="1" applyAlignment="1">
      <alignment horizontal="center"/>
    </xf>
    <xf numFmtId="0" fontId="74" fillId="0" borderId="0" xfId="62" applyFont="1" applyAlignment="1">
      <alignment horizontal="left" wrapText="1"/>
    </xf>
    <xf numFmtId="4" fontId="7" fillId="0" borderId="0" xfId="2" applyNumberFormat="1" applyFont="1" applyFill="1" applyBorder="1" applyAlignment="1">
      <alignment horizontal="center" vertical="center"/>
    </xf>
    <xf numFmtId="3" fontId="17" fillId="0" borderId="0" xfId="2" applyNumberFormat="1" applyFont="1" applyFill="1"/>
    <xf numFmtId="4" fontId="12" fillId="0" borderId="0" xfId="2" applyNumberFormat="1" applyFont="1" applyFill="1"/>
    <xf numFmtId="4" fontId="46" fillId="0" borderId="0" xfId="5" applyNumberFormat="1" applyFont="1" applyFill="1" applyBorder="1" applyAlignment="1">
      <alignment vertical="top" wrapText="1"/>
    </xf>
    <xf numFmtId="3" fontId="5" fillId="0" borderId="0" xfId="2" quotePrefix="1" applyNumberFormat="1" applyFont="1" applyFill="1" applyAlignment="1">
      <alignment horizontal="right" vertical="top"/>
    </xf>
    <xf numFmtId="0" fontId="69" fillId="0" borderId="0" xfId="0" applyFont="1"/>
    <xf numFmtId="0" fontId="56" fillId="0" borderId="0" xfId="0" applyFont="1"/>
    <xf numFmtId="14" fontId="56" fillId="0" borderId="0" xfId="0" applyNumberFormat="1" applyFont="1" applyAlignment="1">
      <alignment horizontal="left"/>
    </xf>
    <xf numFmtId="0" fontId="51" fillId="0" borderId="18" xfId="0" applyFont="1" applyBorder="1" applyAlignment="1">
      <alignment vertical="center"/>
    </xf>
    <xf numFmtId="3" fontId="51" fillId="0" borderId="5" xfId="0" applyNumberFormat="1" applyFont="1" applyBorder="1" applyAlignment="1">
      <alignment vertical="center"/>
    </xf>
    <xf numFmtId="3" fontId="51" fillId="0" borderId="18" xfId="0" applyNumberFormat="1" applyFont="1" applyBorder="1" applyAlignment="1">
      <alignment vertical="center"/>
    </xf>
    <xf numFmtId="3" fontId="56" fillId="0" borderId="18" xfId="0" applyNumberFormat="1" applyFont="1" applyBorder="1" applyAlignment="1">
      <alignment vertical="center"/>
    </xf>
    <xf numFmtId="0" fontId="56" fillId="0" borderId="18" xfId="0" applyFont="1" applyBorder="1" applyAlignment="1">
      <alignment horizontal="right" vertical="center" wrapText="1"/>
    </xf>
    <xf numFmtId="0" fontId="56" fillId="0" borderId="1" xfId="0" applyFont="1" applyBorder="1" applyAlignment="1">
      <alignment horizontal="right" vertical="center" wrapText="1"/>
    </xf>
    <xf numFmtId="0" fontId="51" fillId="0" borderId="18" xfId="0" applyFont="1" applyBorder="1" applyAlignment="1">
      <alignment horizontal="right" vertical="center" wrapText="1"/>
    </xf>
    <xf numFmtId="0" fontId="56" fillId="0" borderId="0" xfId="0" applyFont="1" applyAlignment="1">
      <alignment horizontal="right"/>
    </xf>
    <xf numFmtId="0" fontId="56" fillId="0" borderId="18" xfId="0" applyFont="1" applyBorder="1" applyAlignment="1">
      <alignment vertical="center" wrapText="1"/>
    </xf>
    <xf numFmtId="0" fontId="56" fillId="0" borderId="18" xfId="0" quotePrefix="1" applyFont="1" applyBorder="1" applyAlignment="1">
      <alignment horizontal="left" vertical="center" indent="2"/>
    </xf>
    <xf numFmtId="3" fontId="5" fillId="0" borderId="7" xfId="6" applyNumberFormat="1" applyFont="1" applyFill="1" applyBorder="1" applyAlignment="1">
      <alignment horizontal="right" vertical="center"/>
    </xf>
    <xf numFmtId="0" fontId="9" fillId="0" borderId="0" xfId="116" applyFont="1" applyAlignment="1">
      <alignment horizontal="right"/>
    </xf>
    <xf numFmtId="0" fontId="9" fillId="0" borderId="0" xfId="116" applyFont="1"/>
    <xf numFmtId="0" fontId="47" fillId="0" borderId="0" xfId="117" applyFont="1" applyFill="1" applyAlignment="1">
      <alignment vertical="center"/>
    </xf>
    <xf numFmtId="3" fontId="64" fillId="0" borderId="0" xfId="117" applyNumberFormat="1" applyFont="1" applyFill="1" applyAlignment="1">
      <alignment vertical="center"/>
    </xf>
    <xf numFmtId="49" fontId="6" fillId="0" borderId="0" xfId="117" applyNumberFormat="1" applyFont="1" applyFill="1" applyAlignment="1">
      <alignment horizontal="left" vertical="center"/>
    </xf>
    <xf numFmtId="0" fontId="49" fillId="0" borderId="0" xfId="117" applyFont="1" applyFill="1"/>
    <xf numFmtId="0" fontId="48" fillId="0" borderId="0" xfId="117" applyFont="1" applyFill="1" applyAlignment="1">
      <alignment horizontal="right"/>
    </xf>
    <xf numFmtId="0" fontId="64" fillId="0" borderId="0" xfId="62" applyFont="1"/>
    <xf numFmtId="0" fontId="78" fillId="0" borderId="0" xfId="62" applyFont="1"/>
    <xf numFmtId="167" fontId="2" fillId="0" borderId="0" xfId="62" applyNumberFormat="1" applyFont="1"/>
    <xf numFmtId="166" fontId="2" fillId="0" borderId="0" xfId="62" applyNumberFormat="1" applyFont="1"/>
    <xf numFmtId="167" fontId="64" fillId="0" borderId="0" xfId="62" applyNumberFormat="1" applyFont="1"/>
    <xf numFmtId="10" fontId="79" fillId="0" borderId="0" xfId="62" applyNumberFormat="1" applyFont="1"/>
    <xf numFmtId="168" fontId="64" fillId="0" borderId="0" xfId="62" applyNumberFormat="1" applyFont="1"/>
    <xf numFmtId="167" fontId="56" fillId="0" borderId="0" xfId="0" applyNumberFormat="1" applyFont="1"/>
    <xf numFmtId="0" fontId="51" fillId="0" borderId="0" xfId="0" applyFont="1" applyAlignment="1">
      <alignment horizontal="center" wrapText="1"/>
    </xf>
    <xf numFmtId="1" fontId="7" fillId="0" borderId="0" xfId="2" applyNumberFormat="1" applyFont="1" applyFill="1" applyBorder="1" applyProtection="1">
      <protection hidden="1"/>
    </xf>
    <xf numFmtId="0" fontId="56" fillId="0" borderId="0" xfId="0" applyFont="1" applyFill="1" applyAlignment="1">
      <alignment horizontal="right"/>
    </xf>
    <xf numFmtId="0" fontId="47" fillId="0" borderId="0" xfId="0" applyFont="1" applyAlignment="1">
      <alignment horizontal="left" vertical="center" wrapText="1"/>
    </xf>
    <xf numFmtId="0" fontId="47" fillId="0" borderId="0" xfId="0" applyFont="1" applyAlignment="1">
      <alignment horizontal="justify" vertical="center"/>
    </xf>
    <xf numFmtId="0" fontId="47" fillId="0" borderId="0" xfId="0" applyFont="1" applyAlignment="1">
      <alignment horizontal="left" vertical="center" indent="7"/>
    </xf>
    <xf numFmtId="0" fontId="82" fillId="0" borderId="0" xfId="0" applyFont="1" applyAlignment="1">
      <alignment horizontal="justify" vertical="center"/>
    </xf>
    <xf numFmtId="0" fontId="47" fillId="0" borderId="20" xfId="0" applyFont="1" applyBorder="1" applyAlignment="1">
      <alignment horizontal="center" wrapText="1"/>
    </xf>
    <xf numFmtId="0" fontId="47" fillId="0" borderId="0" xfId="0" applyFont="1" applyAlignment="1">
      <alignment horizontal="center" vertical="center" wrapText="1"/>
    </xf>
    <xf numFmtId="0" fontId="87" fillId="0" borderId="0" xfId="0" applyFont="1" applyAlignment="1">
      <alignment horizontal="justify" vertical="center"/>
    </xf>
    <xf numFmtId="0" fontId="56" fillId="0" borderId="0" xfId="0" applyFont="1" applyAlignment="1">
      <alignment horizontal="right" vertical="top"/>
    </xf>
    <xf numFmtId="0" fontId="47" fillId="0" borderId="0" xfId="0" applyFont="1" applyAlignment="1">
      <alignment horizontal="left" vertical="top" wrapText="1"/>
    </xf>
    <xf numFmtId="0" fontId="47" fillId="0" borderId="0" xfId="0" applyFont="1" applyAlignment="1">
      <alignment horizontal="left" vertical="center" wrapText="1" indent="7"/>
    </xf>
    <xf numFmtId="3" fontId="9" fillId="0" borderId="0" xfId="117" applyNumberFormat="1" applyFont="1" applyFill="1" applyAlignment="1">
      <alignment horizontal="right" vertical="center"/>
    </xf>
    <xf numFmtId="4" fontId="2" fillId="0" borderId="0" xfId="1" applyNumberFormat="1" applyFont="1" applyFill="1" applyBorder="1" applyAlignment="1">
      <alignment vertical="center"/>
    </xf>
    <xf numFmtId="4" fontId="3" fillId="0" borderId="0" xfId="1" applyNumberFormat="1" applyFont="1" applyFill="1" applyBorder="1" applyAlignment="1">
      <alignment vertical="center"/>
    </xf>
    <xf numFmtId="4" fontId="7" fillId="0" borderId="0" xfId="2" applyNumberFormat="1" applyFont="1" applyFill="1" applyAlignment="1">
      <alignment vertical="center"/>
    </xf>
    <xf numFmtId="3" fontId="7" fillId="0" borderId="0" xfId="1" applyNumberFormat="1" applyFont="1" applyFill="1" applyBorder="1" applyAlignment="1">
      <alignment horizontal="right" vertical="center"/>
    </xf>
    <xf numFmtId="3" fontId="3" fillId="0" borderId="0" xfId="1" applyNumberFormat="1" applyFont="1" applyFill="1" applyBorder="1" applyAlignment="1">
      <alignment horizontal="right" vertical="center"/>
    </xf>
    <xf numFmtId="164" fontId="15" fillId="0" borderId="0" xfId="1" applyNumberFormat="1" applyFont="1" applyFill="1" applyBorder="1" applyAlignment="1">
      <alignment horizontal="right" vertical="center"/>
    </xf>
    <xf numFmtId="0" fontId="5" fillId="0" borderId="0" xfId="4" applyFont="1" applyFill="1" applyAlignment="1">
      <alignment vertical="center"/>
    </xf>
    <xf numFmtId="4" fontId="5" fillId="0" borderId="0" xfId="1" applyNumberFormat="1" applyFont="1" applyFill="1" applyBorder="1" applyAlignment="1">
      <alignment vertical="center"/>
    </xf>
    <xf numFmtId="164" fontId="7"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4" fontId="45" fillId="0" borderId="0" xfId="1" applyNumberFormat="1" applyFont="1" applyFill="1" applyBorder="1" applyAlignment="1">
      <alignment horizontal="center" vertical="center" wrapText="1"/>
    </xf>
    <xf numFmtId="165" fontId="3" fillId="0" borderId="0" xfId="1" applyNumberFormat="1" applyFont="1" applyFill="1" applyBorder="1" applyAlignment="1">
      <alignment horizontal="center" vertical="center"/>
    </xf>
    <xf numFmtId="164" fontId="2" fillId="0" borderId="0" xfId="1" applyNumberFormat="1" applyFont="1" applyFill="1" applyBorder="1" applyAlignment="1">
      <alignment horizontal="right" vertical="center"/>
    </xf>
    <xf numFmtId="3" fontId="5" fillId="0" borderId="0" xfId="1" applyNumberFormat="1" applyFont="1" applyFill="1"/>
    <xf numFmtId="164" fontId="10" fillId="0" borderId="0" xfId="2" applyNumberFormat="1" applyFont="1" applyFill="1"/>
    <xf numFmtId="4" fontId="2" fillId="0" borderId="0" xfId="2" applyNumberFormat="1" applyFont="1" applyFill="1" applyAlignment="1">
      <alignment horizontal="left" vertical="top" wrapText="1" indent="4"/>
    </xf>
    <xf numFmtId="4" fontId="2" fillId="0" borderId="0" xfId="2" applyNumberFormat="1" applyFont="1" applyFill="1" applyAlignment="1">
      <alignment horizontal="left" wrapText="1" indent="3"/>
    </xf>
    <xf numFmtId="4" fontId="2" fillId="0" borderId="0" xfId="2" applyNumberFormat="1" applyFont="1" applyFill="1" applyAlignment="1">
      <alignment horizontal="left" vertical="top" wrapText="1" indent="3"/>
    </xf>
    <xf numFmtId="0" fontId="49" fillId="0" borderId="0" xfId="117" applyFont="1" applyFill="1" applyBorder="1"/>
    <xf numFmtId="3" fontId="63" fillId="0" borderId="0" xfId="117" applyNumberFormat="1" applyFont="1" applyFill="1"/>
    <xf numFmtId="3" fontId="69" fillId="0" borderId="0" xfId="117" applyNumberFormat="1" applyFont="1" applyFill="1" applyAlignment="1">
      <alignment vertical="center"/>
    </xf>
    <xf numFmtId="0" fontId="47" fillId="0" borderId="0" xfId="0" applyFont="1" applyAlignment="1">
      <alignment horizontal="left" vertical="center" wrapText="1"/>
    </xf>
    <xf numFmtId="0" fontId="0" fillId="0" borderId="0" xfId="0" applyFill="1"/>
    <xf numFmtId="0" fontId="47" fillId="0" borderId="0" xfId="0" applyFont="1" applyFill="1" applyAlignment="1">
      <alignment horizontal="left" vertical="top" wrapText="1"/>
    </xf>
    <xf numFmtId="0" fontId="47" fillId="0" borderId="0" xfId="0" applyFont="1" applyFill="1" applyAlignment="1">
      <alignment horizontal="left" vertical="center" wrapText="1"/>
    </xf>
    <xf numFmtId="4" fontId="62" fillId="0" borderId="0" xfId="2" applyNumberFormat="1" applyFont="1" applyFill="1"/>
    <xf numFmtId="0" fontId="102" fillId="0" borderId="0" xfId="4" applyFont="1" applyFill="1" applyAlignment="1">
      <alignment horizontal="center" vertical="center"/>
    </xf>
    <xf numFmtId="0" fontId="2" fillId="0" borderId="0" xfId="62" applyFont="1" applyAlignment="1">
      <alignment horizontal="left" wrapText="1"/>
    </xf>
    <xf numFmtId="0" fontId="2" fillId="0" borderId="0" xfId="62" applyFont="1" applyAlignment="1">
      <alignment horizontal="left"/>
    </xf>
    <xf numFmtId="0" fontId="50" fillId="0" borderId="0" xfId="0" applyFont="1" applyAlignment="1">
      <alignment horizontal="left" vertical="center"/>
    </xf>
    <xf numFmtId="0" fontId="104" fillId="0" borderId="0" xfId="0" applyFont="1"/>
    <xf numFmtId="4" fontId="5" fillId="0" borderId="0" xfId="2" applyNumberFormat="1" applyFont="1" applyFill="1" applyAlignment="1">
      <alignment horizontal="right"/>
    </xf>
    <xf numFmtId="4" fontId="6" fillId="0" borderId="0" xfId="2" applyNumberFormat="1" applyFont="1" applyFill="1" applyAlignment="1">
      <alignment horizontal="center"/>
    </xf>
    <xf numFmtId="4" fontId="2" fillId="0" borderId="2" xfId="2" applyNumberFormat="1" applyFont="1" applyFill="1" applyBorder="1"/>
    <xf numFmtId="4" fontId="2" fillId="0" borderId="6" xfId="2" applyNumberFormat="1" applyFont="1" applyFill="1" applyBorder="1"/>
    <xf numFmtId="2" fontId="2" fillId="0" borderId="0" xfId="2" applyNumberFormat="1" applyFont="1" applyFill="1" applyProtection="1">
      <protection hidden="1"/>
    </xf>
    <xf numFmtId="2" fontId="5" fillId="0" borderId="0" xfId="2" applyNumberFormat="1" applyFont="1" applyFill="1" applyProtection="1">
      <protection hidden="1"/>
    </xf>
    <xf numFmtId="4" fontId="2" fillId="0" borderId="0" xfId="2" quotePrefix="1" applyNumberFormat="1" applyFont="1" applyFill="1" applyAlignment="1" applyProtection="1">
      <alignment horizontal="right"/>
      <protection hidden="1"/>
    </xf>
    <xf numFmtId="165" fontId="2" fillId="0" borderId="0" xfId="2" quotePrefix="1" applyNumberFormat="1" applyFont="1" applyFill="1" applyAlignment="1" applyProtection="1">
      <alignment horizontal="right"/>
      <protection hidden="1"/>
    </xf>
    <xf numFmtId="165" fontId="2" fillId="0" borderId="0" xfId="2" applyNumberFormat="1" applyFont="1" applyFill="1" applyProtection="1">
      <protection hidden="1"/>
    </xf>
    <xf numFmtId="165" fontId="5" fillId="0" borderId="0" xfId="2" applyNumberFormat="1" applyFont="1" applyFill="1" applyProtection="1">
      <protection hidden="1"/>
    </xf>
    <xf numFmtId="3" fontId="2" fillId="0" borderId="0" xfId="2" applyNumberFormat="1" applyFont="1" applyFill="1" applyAlignment="1" applyProtection="1">
      <alignment vertical="center"/>
      <protection hidden="1"/>
    </xf>
    <xf numFmtId="3" fontId="5" fillId="0" borderId="0" xfId="2" applyNumberFormat="1" applyFont="1" applyFill="1" applyAlignment="1" applyProtection="1">
      <alignment vertical="center"/>
      <protection hidden="1"/>
    </xf>
    <xf numFmtId="164" fontId="5" fillId="0" borderId="0" xfId="2" applyNumberFormat="1" applyFont="1" applyFill="1"/>
    <xf numFmtId="3" fontId="10" fillId="0" borderId="0" xfId="2" applyNumberFormat="1" applyFont="1" applyFill="1"/>
    <xf numFmtId="3" fontId="7" fillId="0" borderId="0" xfId="2" applyNumberFormat="1" applyFont="1" applyFill="1" applyProtection="1">
      <protection hidden="1"/>
    </xf>
    <xf numFmtId="3" fontId="5" fillId="0" borderId="0" xfId="2" applyNumberFormat="1" applyFont="1" applyFill="1" applyProtection="1">
      <protection hidden="1"/>
    </xf>
    <xf numFmtId="1" fontId="11" fillId="0" borderId="0" xfId="2" applyNumberFormat="1" applyFont="1" applyFill="1" applyProtection="1">
      <protection hidden="1"/>
    </xf>
    <xf numFmtId="3" fontId="7" fillId="0" borderId="0" xfId="2" applyNumberFormat="1" applyFont="1" applyFill="1" applyBorder="1" applyProtection="1">
      <protection hidden="1"/>
    </xf>
    <xf numFmtId="3" fontId="3" fillId="0" borderId="0" xfId="2" applyNumberFormat="1" applyFont="1" applyFill="1" applyBorder="1" applyProtection="1">
      <protection hidden="1"/>
    </xf>
    <xf numFmtId="3" fontId="3" fillId="0" borderId="0" xfId="2" applyNumberFormat="1" applyFont="1" applyFill="1"/>
    <xf numFmtId="4" fontId="3" fillId="0" borderId="0" xfId="2" applyNumberFormat="1" applyFont="1" applyFill="1" applyProtection="1">
      <protection hidden="1"/>
    </xf>
    <xf numFmtId="4" fontId="6" fillId="0" borderId="0" xfId="1" applyNumberFormat="1" applyFont="1" applyFill="1" applyBorder="1" applyAlignment="1">
      <alignment vertical="center"/>
    </xf>
    <xf numFmtId="4" fontId="10" fillId="0" borderId="0" xfId="2" applyNumberFormat="1" applyFont="1" applyFill="1" applyAlignment="1">
      <alignment vertical="center"/>
    </xf>
    <xf numFmtId="3" fontId="10" fillId="0" borderId="0" xfId="1" applyNumberFormat="1" applyFont="1" applyFill="1" applyBorder="1" applyAlignment="1">
      <alignment horizontal="right" vertical="center"/>
    </xf>
    <xf numFmtId="3" fontId="2" fillId="0" borderId="0" xfId="1" applyNumberFormat="1" applyFont="1" applyFill="1" applyBorder="1" applyAlignment="1">
      <alignment vertical="center"/>
    </xf>
    <xf numFmtId="4" fontId="10" fillId="0" borderId="0" xfId="1" applyNumberFormat="1" applyFont="1" applyFill="1" applyBorder="1" applyAlignment="1">
      <alignment vertical="center"/>
    </xf>
    <xf numFmtId="4" fontId="3" fillId="0" borderId="0" xfId="2" applyNumberFormat="1" applyFont="1" applyFill="1" applyAlignment="1">
      <alignment vertical="center"/>
    </xf>
    <xf numFmtId="3" fontId="11" fillId="0" borderId="0" xfId="1" applyNumberFormat="1" applyFont="1" applyFill="1" applyBorder="1" applyAlignment="1">
      <alignment horizontal="right" vertical="center"/>
    </xf>
    <xf numFmtId="4" fontId="16" fillId="0" borderId="0" xfId="1" applyNumberFormat="1" applyFont="1" applyFill="1" applyBorder="1" applyAlignment="1">
      <alignment vertical="center"/>
    </xf>
    <xf numFmtId="4" fontId="7" fillId="0" borderId="0" xfId="1" applyNumberFormat="1" applyFont="1" applyFill="1" applyBorder="1" applyAlignment="1">
      <alignment vertical="center"/>
    </xf>
    <xf numFmtId="4" fontId="7" fillId="0" borderId="0" xfId="1" applyNumberFormat="1" applyFont="1" applyFill="1" applyBorder="1" applyAlignment="1">
      <alignment horizontal="right" vertical="center"/>
    </xf>
    <xf numFmtId="4" fontId="3" fillId="0" borderId="0" xfId="1" applyNumberFormat="1" applyFont="1" applyFill="1" applyBorder="1" applyAlignment="1">
      <alignment horizontal="right" vertical="center"/>
    </xf>
    <xf numFmtId="3" fontId="7" fillId="0" borderId="0" xfId="5" applyNumberFormat="1" applyFont="1" applyFill="1" applyBorder="1" applyAlignment="1">
      <alignment horizontal="right" vertical="center"/>
    </xf>
    <xf numFmtId="3" fontId="3" fillId="0" borderId="0" xfId="5" applyNumberFormat="1" applyFont="1" applyFill="1" applyBorder="1" applyAlignment="1">
      <alignment horizontal="right" vertical="center"/>
    </xf>
    <xf numFmtId="3" fontId="5" fillId="0" borderId="0" xfId="4" applyNumberFormat="1" applyFont="1" applyFill="1" applyAlignment="1">
      <alignment vertical="center"/>
    </xf>
    <xf numFmtId="3" fontId="5" fillId="0" borderId="0" xfId="1" applyNumberFormat="1" applyFont="1" applyFill="1" applyBorder="1" applyAlignment="1">
      <alignment vertical="center"/>
    </xf>
    <xf numFmtId="4" fontId="2" fillId="0" borderId="0" xfId="5" applyNumberFormat="1" applyFont="1" applyFill="1" applyBorder="1" applyAlignment="1">
      <alignment vertical="center"/>
    </xf>
    <xf numFmtId="4" fontId="2" fillId="0" borderId="0" xfId="1" applyNumberFormat="1" applyFont="1" applyFill="1" applyBorder="1" applyAlignment="1">
      <alignment horizontal="right" vertical="center"/>
    </xf>
    <xf numFmtId="4" fontId="5" fillId="0" borderId="0" xfId="1" applyNumberFormat="1" applyFont="1" applyFill="1" applyBorder="1" applyAlignment="1">
      <alignment horizontal="right" vertical="center"/>
    </xf>
    <xf numFmtId="164" fontId="5" fillId="0" borderId="0" xfId="1" applyNumberFormat="1" applyFont="1" applyFill="1" applyBorder="1" applyAlignment="1">
      <alignment horizontal="right" vertical="center"/>
    </xf>
    <xf numFmtId="4" fontId="2" fillId="0" borderId="0" xfId="1" applyNumberFormat="1" applyFont="1" applyFill="1" applyBorder="1" applyAlignment="1">
      <alignment vertical="center" wrapText="1"/>
    </xf>
    <xf numFmtId="0" fontId="7" fillId="0" borderId="0" xfId="4" applyFont="1" applyFill="1" applyAlignment="1">
      <alignment vertical="center"/>
    </xf>
    <xf numFmtId="4" fontId="16" fillId="0" borderId="0" xfId="1" applyNumberFormat="1" applyFont="1" applyFill="1" applyBorder="1" applyAlignment="1">
      <alignment vertical="center" wrapText="1"/>
    </xf>
    <xf numFmtId="4" fontId="5" fillId="0" borderId="0" xfId="1" applyNumberFormat="1" applyFont="1" applyFill="1" applyBorder="1" applyAlignment="1">
      <alignment horizontal="left" vertical="center" wrapText="1"/>
    </xf>
    <xf numFmtId="3" fontId="3" fillId="0" borderId="0" xfId="4" applyNumberFormat="1" applyFont="1" applyFill="1" applyAlignment="1">
      <alignment vertical="center"/>
    </xf>
    <xf numFmtId="4" fontId="16" fillId="0" borderId="0" xfId="5" applyNumberFormat="1" applyFont="1" applyFill="1" applyBorder="1" applyAlignment="1">
      <alignment vertical="center"/>
    </xf>
    <xf numFmtId="4" fontId="5" fillId="0" borderId="0" xfId="5" applyNumberFormat="1" applyFont="1" applyFill="1" applyBorder="1" applyAlignment="1">
      <alignment vertical="center"/>
    </xf>
    <xf numFmtId="4" fontId="2" fillId="0" borderId="0" xfId="2" applyNumberFormat="1" applyFont="1" applyFill="1" applyBorder="1" applyAlignment="1">
      <alignment vertical="center"/>
    </xf>
    <xf numFmtId="3" fontId="10" fillId="0" borderId="0" xfId="1" applyNumberFormat="1" applyFont="1" applyFill="1" applyBorder="1" applyAlignment="1">
      <alignment vertical="center"/>
    </xf>
    <xf numFmtId="4" fontId="5" fillId="0" borderId="0" xfId="1" applyNumberFormat="1" applyFont="1" applyFill="1" applyBorder="1" applyAlignment="1">
      <alignment vertical="center" wrapText="1"/>
    </xf>
    <xf numFmtId="3" fontId="5"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left" vertical="center" indent="3"/>
    </xf>
    <xf numFmtId="3" fontId="2" fillId="0" borderId="0" xfId="1" applyNumberFormat="1" applyFont="1" applyFill="1" applyBorder="1" applyAlignment="1">
      <alignment horizontal="right" vertical="center" wrapText="1"/>
    </xf>
    <xf numFmtId="4" fontId="2" fillId="0"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3" fontId="5" fillId="0" borderId="0" xfId="1" quotePrefix="1" applyNumberFormat="1" applyFont="1" applyFill="1" applyBorder="1" applyAlignment="1">
      <alignment horizontal="right" vertical="center"/>
    </xf>
    <xf numFmtId="4" fontId="7" fillId="0" borderId="0" xfId="1" applyNumberFormat="1" applyFont="1" applyFill="1" applyBorder="1"/>
    <xf numFmtId="4" fontId="3" fillId="0" borderId="0" xfId="1" applyNumberFormat="1" applyFont="1" applyFill="1" applyBorder="1"/>
    <xf numFmtId="1" fontId="10" fillId="0" borderId="0" xfId="1" applyNumberFormat="1" applyFont="1" applyFill="1"/>
    <xf numFmtId="0" fontId="10" fillId="0" borderId="0" xfId="1" applyFont="1" applyFill="1"/>
    <xf numFmtId="3" fontId="11" fillId="0" borderId="0" xfId="1" applyNumberFormat="1" applyFont="1" applyFill="1" applyAlignment="1"/>
    <xf numFmtId="3" fontId="15" fillId="0" borderId="0" xfId="1" applyNumberFormat="1" applyFont="1" applyFill="1"/>
    <xf numFmtId="164" fontId="15" fillId="0" borderId="0" xfId="1" applyNumberFormat="1" applyFont="1" applyFill="1"/>
    <xf numFmtId="164" fontId="14" fillId="0" borderId="0" xfId="1" applyNumberFormat="1" applyFont="1" applyFill="1"/>
    <xf numFmtId="164" fontId="5" fillId="0" borderId="0" xfId="1" applyNumberFormat="1" applyFont="1" applyFill="1"/>
    <xf numFmtId="3" fontId="7" fillId="0" borderId="0" xfId="1" applyNumberFormat="1" applyFont="1" applyFill="1"/>
    <xf numFmtId="3" fontId="3" fillId="0" borderId="0" xfId="1" applyNumberFormat="1" applyFont="1" applyFill="1"/>
    <xf numFmtId="164" fontId="7" fillId="0" borderId="0" xfId="1" applyNumberFormat="1" applyFont="1" applyFill="1"/>
    <xf numFmtId="164" fontId="3" fillId="0" borderId="0" xfId="1" applyNumberFormat="1" applyFont="1" applyFill="1"/>
    <xf numFmtId="0" fontId="3" fillId="0" borderId="0" xfId="1" applyFont="1" applyFill="1"/>
    <xf numFmtId="0" fontId="2" fillId="0" borderId="0" xfId="1" applyFont="1" applyFill="1" applyBorder="1"/>
    <xf numFmtId="3" fontId="5" fillId="0" borderId="0" xfId="5" applyNumberFormat="1" applyFont="1" applyFill="1"/>
    <xf numFmtId="3" fontId="7" fillId="0" borderId="0" xfId="5" applyNumberFormat="1" applyFont="1" applyFill="1"/>
    <xf numFmtId="3" fontId="3" fillId="0" borderId="0" xfId="5" applyNumberFormat="1" applyFont="1" applyFill="1"/>
    <xf numFmtId="3" fontId="5" fillId="0" borderId="0" xfId="2" applyNumberFormat="1" applyFont="1" applyFill="1" applyAlignment="1">
      <alignment vertical="top"/>
    </xf>
    <xf numFmtId="3" fontId="5" fillId="0" borderId="0" xfId="4" applyNumberFormat="1" applyFont="1" applyFill="1" applyBorder="1" applyAlignment="1">
      <alignment horizontal="right" vertical="top"/>
    </xf>
    <xf numFmtId="3" fontId="14" fillId="0" borderId="0" xfId="1" applyNumberFormat="1" applyFont="1" applyFill="1" applyBorder="1" applyAlignment="1">
      <alignment horizontal="right" vertical="top"/>
    </xf>
    <xf numFmtId="3" fontId="5" fillId="0" borderId="0" xfId="1" applyNumberFormat="1" applyFont="1" applyFill="1" applyBorder="1" applyAlignment="1">
      <alignment horizontal="right" vertical="top"/>
    </xf>
    <xf numFmtId="3" fontId="3" fillId="0" borderId="0" xfId="4" applyNumberFormat="1" applyFont="1" applyFill="1" applyBorder="1" applyAlignment="1">
      <alignment horizontal="right" vertical="top"/>
    </xf>
    <xf numFmtId="3" fontId="7" fillId="0" borderId="0" xfId="1" applyNumberFormat="1" applyFont="1" applyFill="1" applyBorder="1" applyAlignment="1">
      <alignment horizontal="right" vertical="top"/>
    </xf>
    <xf numFmtId="3" fontId="14" fillId="0" borderId="0" xfId="4" applyNumberFormat="1" applyFont="1" applyFill="1" applyBorder="1" applyAlignment="1">
      <alignment horizontal="right" vertical="center"/>
    </xf>
    <xf numFmtId="3" fontId="3" fillId="0" borderId="0" xfId="5" applyNumberFormat="1" applyFont="1" applyFill="1" applyBorder="1" applyAlignment="1">
      <alignment horizontal="right" vertical="top"/>
    </xf>
    <xf numFmtId="3" fontId="7" fillId="0" borderId="0" xfId="2" applyNumberFormat="1" applyFont="1" applyFill="1" applyAlignment="1">
      <alignment horizontal="right" vertical="top"/>
    </xf>
    <xf numFmtId="0" fontId="105" fillId="0" borderId="0" xfId="117" applyFont="1" applyFill="1" applyAlignment="1">
      <alignment horizontal="centerContinuous"/>
    </xf>
    <xf numFmtId="3" fontId="51" fillId="0" borderId="0" xfId="117" applyNumberFormat="1" applyFont="1" applyFill="1" applyBorder="1" applyAlignment="1">
      <alignment horizontal="right"/>
    </xf>
    <xf numFmtId="0" fontId="106" fillId="0" borderId="0" xfId="117" applyFont="1" applyAlignment="1">
      <alignment vertical="center"/>
    </xf>
    <xf numFmtId="0" fontId="6" fillId="0" borderId="0" xfId="116" applyFont="1" applyAlignment="1">
      <alignment horizontal="center" vertical="center"/>
    </xf>
    <xf numFmtId="4" fontId="49" fillId="0" borderId="1" xfId="2" applyNumberFormat="1" applyFont="1" applyBorder="1"/>
    <xf numFmtId="4" fontId="49" fillId="0" borderId="5" xfId="2" applyNumberFormat="1" applyFont="1" applyBorder="1"/>
    <xf numFmtId="0" fontId="49" fillId="0" borderId="0" xfId="116" applyFont="1"/>
    <xf numFmtId="0" fontId="49" fillId="0" borderId="0" xfId="116" applyFont="1" applyFill="1"/>
    <xf numFmtId="0" fontId="49" fillId="0" borderId="0" xfId="116" applyFont="1" applyAlignment="1"/>
    <xf numFmtId="3" fontId="49" fillId="0" borderId="0" xfId="116" applyNumberFormat="1" applyFont="1" applyAlignment="1"/>
    <xf numFmtId="3" fontId="49" fillId="0" borderId="0" xfId="116" applyNumberFormat="1" applyFont="1" applyFill="1" applyAlignment="1"/>
    <xf numFmtId="0" fontId="49" fillId="0" borderId="0" xfId="116" applyFont="1" applyAlignment="1">
      <alignment vertical="center" wrapText="1"/>
    </xf>
    <xf numFmtId="0" fontId="49" fillId="0" borderId="0" xfId="116" applyFont="1" applyAlignment="1">
      <alignment vertical="center"/>
    </xf>
    <xf numFmtId="3" fontId="49" fillId="0" borderId="0" xfId="116" applyNumberFormat="1" applyFont="1" applyFill="1" applyAlignment="1">
      <alignment vertical="center"/>
    </xf>
    <xf numFmtId="3" fontId="49" fillId="0" borderId="0" xfId="116" applyNumberFormat="1" applyFont="1" applyAlignment="1">
      <alignment vertical="center"/>
    </xf>
    <xf numFmtId="3" fontId="2" fillId="0" borderId="0" xfId="130" applyNumberFormat="1" applyFont="1"/>
    <xf numFmtId="3" fontId="5" fillId="0" borderId="0" xfId="130" applyNumberFormat="1" applyFont="1"/>
    <xf numFmtId="3" fontId="2" fillId="0" borderId="0" xfId="130" applyNumberFormat="1" applyFont="1" applyAlignment="1"/>
    <xf numFmtId="3" fontId="54" fillId="0" borderId="0" xfId="130" applyNumberFormat="1" applyFont="1"/>
    <xf numFmtId="3" fontId="61" fillId="0" borderId="0" xfId="130" applyNumberFormat="1" applyFont="1"/>
    <xf numFmtId="3" fontId="2" fillId="0" borderId="0" xfId="130" applyNumberFormat="1" applyFont="1" applyAlignment="1">
      <alignment vertical="top"/>
    </xf>
    <xf numFmtId="3" fontId="5" fillId="0" borderId="0" xfId="130" applyNumberFormat="1" applyFont="1" applyAlignment="1">
      <alignment vertical="top"/>
    </xf>
    <xf numFmtId="3" fontId="2" fillId="0" borderId="0" xfId="130" applyNumberFormat="1" applyFont="1" applyAlignment="1">
      <alignment horizontal="left"/>
    </xf>
    <xf numFmtId="3" fontId="46" fillId="0" borderId="0" xfId="130" applyNumberFormat="1" applyFont="1" applyAlignment="1">
      <alignment vertical="top"/>
    </xf>
    <xf numFmtId="3" fontId="94" fillId="0" borderId="0" xfId="130" applyNumberFormat="1" applyFont="1" applyAlignment="1">
      <alignment vertical="top"/>
    </xf>
    <xf numFmtId="3" fontId="10" fillId="0" borderId="0" xfId="130" applyNumberFormat="1" applyFont="1" applyAlignment="1">
      <alignment vertical="top"/>
    </xf>
    <xf numFmtId="3" fontId="9" fillId="0" borderId="0" xfId="130" applyNumberFormat="1" applyFont="1" applyAlignment="1">
      <alignment vertical="top"/>
    </xf>
    <xf numFmtId="3" fontId="54" fillId="0" borderId="0" xfId="130" applyNumberFormat="1" applyFont="1" applyAlignment="1">
      <alignment horizontal="left"/>
    </xf>
    <xf numFmtId="3" fontId="5" fillId="0" borderId="7" xfId="130" applyNumberFormat="1" applyFont="1" applyFill="1" applyBorder="1" applyAlignment="1">
      <alignment vertical="top"/>
    </xf>
    <xf numFmtId="3" fontId="2" fillId="0" borderId="7" xfId="130" applyNumberFormat="1" applyFont="1" applyBorder="1" applyAlignment="1">
      <alignment vertical="top"/>
    </xf>
    <xf numFmtId="3" fontId="16" fillId="0" borderId="0" xfId="130" applyNumberFormat="1" applyFont="1" applyAlignment="1">
      <alignment vertical="top"/>
    </xf>
    <xf numFmtId="3" fontId="5" fillId="0" borderId="0" xfId="130" applyNumberFormat="1" applyFont="1" applyFill="1" applyBorder="1" applyAlignment="1">
      <alignment vertical="top"/>
    </xf>
    <xf numFmtId="0" fontId="13" fillId="0" borderId="0" xfId="130" applyFont="1" applyAlignment="1">
      <alignment horizontal="left" vertical="top" wrapText="1"/>
    </xf>
    <xf numFmtId="3" fontId="2" fillId="0" borderId="0" xfId="130" applyNumberFormat="1" applyFont="1" applyFill="1" applyBorder="1" applyAlignment="1">
      <alignment vertical="top"/>
    </xf>
    <xf numFmtId="3" fontId="2" fillId="0" borderId="0" xfId="130" applyNumberFormat="1" applyFont="1" applyFill="1" applyAlignment="1">
      <alignment vertical="top"/>
    </xf>
    <xf numFmtId="3" fontId="5" fillId="0" borderId="0" xfId="130" applyNumberFormat="1" applyFont="1" applyFill="1" applyAlignment="1">
      <alignment vertical="top"/>
    </xf>
    <xf numFmtId="3" fontId="2" fillId="0" borderId="0" xfId="130" applyNumberFormat="1" applyFont="1" applyAlignment="1">
      <alignment vertical="center"/>
    </xf>
    <xf numFmtId="3" fontId="2" fillId="0" borderId="0" xfId="130" applyNumberFormat="1" applyFont="1" applyFill="1" applyAlignment="1">
      <alignment vertical="center"/>
    </xf>
    <xf numFmtId="3" fontId="5" fillId="0" borderId="0" xfId="130" applyNumberFormat="1" applyFont="1" applyFill="1" applyAlignment="1">
      <alignment vertical="center"/>
    </xf>
    <xf numFmtId="164" fontId="5" fillId="0" borderId="0" xfId="130" applyNumberFormat="1" applyFont="1" applyFill="1" applyAlignment="1">
      <alignment vertical="top"/>
    </xf>
    <xf numFmtId="3" fontId="44" fillId="0" borderId="0" xfId="130" applyNumberFormat="1" applyFont="1" applyAlignment="1">
      <alignment vertical="top"/>
    </xf>
    <xf numFmtId="164" fontId="2" fillId="0" borderId="5" xfId="130" applyNumberFormat="1" applyFont="1" applyBorder="1" applyAlignment="1">
      <alignment horizontal="center" vertical="center"/>
    </xf>
    <xf numFmtId="164" fontId="5" fillId="0" borderId="5" xfId="130" applyNumberFormat="1" applyFont="1" applyBorder="1" applyAlignment="1">
      <alignment horizontal="center" vertical="center"/>
    </xf>
    <xf numFmtId="3" fontId="2" fillId="0" borderId="5" xfId="130" applyNumberFormat="1" applyFont="1" applyBorder="1" applyAlignment="1">
      <alignment horizontal="center" vertical="center" wrapText="1"/>
    </xf>
    <xf numFmtId="3" fontId="2" fillId="0" borderId="1" xfId="130" applyNumberFormat="1" applyFont="1" applyBorder="1" applyAlignment="1">
      <alignment horizontal="center" vertical="center"/>
    </xf>
    <xf numFmtId="3" fontId="5" fillId="0" borderId="1" xfId="130" applyNumberFormat="1" applyFont="1" applyBorder="1" applyAlignment="1">
      <alignment horizontal="center" vertical="center"/>
    </xf>
    <xf numFmtId="3" fontId="2" fillId="0" borderId="1" xfId="130" applyNumberFormat="1" applyFont="1" applyBorder="1" applyAlignment="1">
      <alignment horizontal="center" vertical="center" wrapText="1"/>
    </xf>
    <xf numFmtId="3" fontId="93" fillId="0" borderId="0" xfId="130" applyNumberFormat="1" applyFont="1" applyAlignment="1">
      <alignment vertical="top"/>
    </xf>
    <xf numFmtId="0" fontId="2" fillId="0" borderId="0" xfId="130" applyFont="1" applyFill="1" applyAlignment="1">
      <alignment horizontal="left" vertical="top" wrapText="1"/>
    </xf>
    <xf numFmtId="3" fontId="44" fillId="0" borderId="0" xfId="130" applyNumberFormat="1" applyFont="1" applyAlignment="1">
      <alignment vertical="center" wrapText="1"/>
    </xf>
    <xf numFmtId="3" fontId="10" fillId="0" borderId="0" xfId="130" applyNumberFormat="1" applyFont="1" applyAlignment="1">
      <alignment vertical="center"/>
    </xf>
    <xf numFmtId="164" fontId="2" fillId="0" borderId="0" xfId="130" applyNumberFormat="1" applyFont="1" applyFill="1" applyAlignment="1">
      <alignment vertical="top"/>
    </xf>
    <xf numFmtId="0" fontId="2" fillId="0" borderId="0" xfId="130" applyFont="1" applyFill="1" applyAlignment="1">
      <alignment vertical="center"/>
    </xf>
    <xf numFmtId="3" fontId="92" fillId="0" borderId="0" xfId="130" applyNumberFormat="1" applyFont="1" applyAlignment="1">
      <alignment vertical="top"/>
    </xf>
    <xf numFmtId="3" fontId="2" fillId="0" borderId="6" xfId="130" applyNumberFormat="1" applyFont="1" applyBorder="1"/>
    <xf numFmtId="3" fontId="2" fillId="0" borderId="2" xfId="130" applyNumberFormat="1" applyFont="1" applyBorder="1"/>
    <xf numFmtId="0" fontId="53" fillId="0" borderId="0" xfId="130" applyFont="1" applyAlignment="1">
      <alignment horizontal="center"/>
    </xf>
    <xf numFmtId="3" fontId="6" fillId="0" borderId="0" xfId="130" applyNumberFormat="1" applyFont="1" applyAlignment="1">
      <alignment horizontal="center" vertical="center"/>
    </xf>
    <xf numFmtId="3" fontId="6" fillId="0" borderId="0" xfId="130" applyNumberFormat="1" applyFont="1" applyAlignment="1">
      <alignment horizontal="center"/>
    </xf>
    <xf numFmtId="4" fontId="3" fillId="0" borderId="1" xfId="2" applyNumberFormat="1" applyFont="1" applyFill="1" applyBorder="1" applyAlignment="1">
      <alignment horizontal="center" vertical="center" wrapText="1"/>
    </xf>
    <xf numFmtId="4" fontId="10"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4" fontId="9" fillId="0" borderId="5" xfId="3"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xf>
    <xf numFmtId="4" fontId="7" fillId="0" borderId="5" xfId="2" applyNumberFormat="1" applyFont="1" applyFill="1" applyBorder="1" applyAlignment="1">
      <alignment horizontal="center" vertical="center"/>
    </xf>
    <xf numFmtId="4" fontId="7" fillId="0" borderId="5" xfId="2" applyNumberFormat="1" applyFont="1" applyFill="1" applyBorder="1" applyAlignment="1">
      <alignment horizontal="center" vertical="center" wrapText="1"/>
    </xf>
    <xf numFmtId="4" fontId="6" fillId="0" borderId="0" xfId="2" applyNumberFormat="1" applyFont="1" applyFill="1" applyAlignment="1">
      <alignment horizontal="center"/>
    </xf>
    <xf numFmtId="0" fontId="2" fillId="0" borderId="0" xfId="62" applyNumberFormat="1" applyFont="1" applyAlignment="1">
      <alignment vertical="top" wrapText="1"/>
    </xf>
    <xf numFmtId="0" fontId="5" fillId="0" borderId="0" xfId="115" applyFont="1" applyAlignment="1">
      <alignment horizontal="center"/>
    </xf>
    <xf numFmtId="0" fontId="2" fillId="0" borderId="0" xfId="62" applyFont="1" applyAlignment="1">
      <alignment horizontal="justify" vertical="top" wrapText="1"/>
    </xf>
    <xf numFmtId="0" fontId="2" fillId="0" borderId="0" xfId="62" applyNumberFormat="1" applyFont="1" applyAlignment="1">
      <alignment horizontal="justify" vertical="top" wrapText="1"/>
    </xf>
    <xf numFmtId="0" fontId="2" fillId="0" borderId="18" xfId="115" applyFont="1" applyBorder="1" applyAlignment="1">
      <alignment horizontal="center"/>
    </xf>
    <xf numFmtId="0" fontId="2" fillId="0" borderId="3" xfId="115" applyFont="1" applyBorder="1" applyAlignment="1">
      <alignment horizontal="center" vertical="center" wrapText="1"/>
    </xf>
    <xf numFmtId="0" fontId="2" fillId="0" borderId="4" xfId="115" applyFont="1" applyBorder="1" applyAlignment="1">
      <alignment horizontal="center" vertical="center" wrapText="1"/>
    </xf>
    <xf numFmtId="0" fontId="2" fillId="0" borderId="0" xfId="115" applyNumberFormat="1" applyFont="1" applyAlignment="1">
      <alignment vertical="top" wrapText="1"/>
    </xf>
    <xf numFmtId="0" fontId="2" fillId="0" borderId="18" xfId="115" applyFont="1" applyBorder="1" applyAlignment="1">
      <alignment horizontal="center" vertical="center" wrapText="1"/>
    </xf>
    <xf numFmtId="0" fontId="48" fillId="0" borderId="0" xfId="0" applyFont="1" applyAlignment="1">
      <alignment horizontal="left" wrapText="1"/>
    </xf>
    <xf numFmtId="0" fontId="6" fillId="0" borderId="0" xfId="62" applyFont="1" applyAlignment="1">
      <alignment horizontal="center" wrapText="1"/>
    </xf>
    <xf numFmtId="0" fontId="2" fillId="0" borderId="0" xfId="62" applyFont="1" applyAlignment="1">
      <alignment horizontal="left" wrapText="1"/>
    </xf>
    <xf numFmtId="0" fontId="2" fillId="0" borderId="0" xfId="62" applyFont="1" applyAlignment="1">
      <alignment horizontal="left"/>
    </xf>
    <xf numFmtId="0" fontId="48" fillId="0" borderId="0" xfId="0" applyFont="1" applyAlignment="1">
      <alignment horizontal="left" vertical="center" wrapText="1"/>
    </xf>
    <xf numFmtId="0" fontId="47" fillId="0" borderId="0" xfId="0" applyFont="1" applyAlignment="1">
      <alignment horizontal="left" vertical="center"/>
    </xf>
    <xf numFmtId="0" fontId="2" fillId="0" borderId="0" xfId="0" applyFont="1" applyAlignment="1">
      <alignment horizontal="left" wrapText="1"/>
    </xf>
    <xf numFmtId="0" fontId="2" fillId="0" borderId="0" xfId="62" applyFont="1" applyAlignment="1">
      <alignment wrapText="1"/>
    </xf>
    <xf numFmtId="0" fontId="49" fillId="0" borderId="0" xfId="62" applyFont="1" applyAlignment="1">
      <alignment horizontal="left"/>
    </xf>
    <xf numFmtId="0" fontId="47" fillId="0" borderId="0" xfId="0" applyFont="1" applyAlignment="1">
      <alignment horizontal="left" wrapText="1"/>
    </xf>
    <xf numFmtId="0" fontId="50" fillId="0" borderId="0" xfId="0" applyFont="1" applyAlignment="1">
      <alignment horizontal="center" wrapText="1"/>
    </xf>
    <xf numFmtId="0" fontId="49" fillId="0" borderId="1" xfId="116" applyFont="1" applyFill="1" applyBorder="1" applyAlignment="1">
      <alignment horizontal="center" vertical="center" wrapText="1"/>
    </xf>
    <xf numFmtId="0" fontId="49" fillId="0" borderId="5" xfId="116" applyFont="1" applyFill="1" applyBorder="1" applyAlignment="1">
      <alignment horizontal="center" vertical="center" wrapText="1"/>
    </xf>
    <xf numFmtId="0" fontId="6" fillId="0" borderId="0" xfId="116" applyFont="1" applyAlignment="1">
      <alignment horizontal="center" vertical="center"/>
    </xf>
    <xf numFmtId="4" fontId="49" fillId="0" borderId="1" xfId="2" applyNumberFormat="1" applyFont="1" applyFill="1" applyBorder="1" applyAlignment="1">
      <alignment horizontal="center" vertical="center" wrapText="1"/>
    </xf>
    <xf numFmtId="4" fontId="49" fillId="0" borderId="5" xfId="120" applyNumberFormat="1" applyFont="1" applyFill="1" applyBorder="1" applyAlignment="1">
      <alignment horizontal="center" vertical="center" wrapText="1"/>
    </xf>
    <xf numFmtId="0" fontId="49" fillId="0" borderId="1" xfId="116" applyFont="1" applyBorder="1" applyAlignment="1">
      <alignment horizontal="center" vertical="center" wrapText="1"/>
    </xf>
    <xf numFmtId="0" fontId="49" fillId="0" borderId="5" xfId="116" applyFont="1" applyBorder="1" applyAlignment="1">
      <alignment horizontal="center" vertical="center" wrapText="1"/>
    </xf>
    <xf numFmtId="0" fontId="6" fillId="0" borderId="1" xfId="116" applyFont="1" applyFill="1" applyBorder="1" applyAlignment="1">
      <alignment horizontal="center" vertical="center" wrapText="1"/>
    </xf>
    <xf numFmtId="0" fontId="6" fillId="0" borderId="5" xfId="116" applyFont="1" applyFill="1" applyBorder="1" applyAlignment="1">
      <alignment horizontal="center" vertical="center" wrapText="1"/>
    </xf>
    <xf numFmtId="0" fontId="51" fillId="0" borderId="0" xfId="0" applyFont="1" applyAlignment="1">
      <alignment horizontal="center" wrapText="1"/>
    </xf>
    <xf numFmtId="0" fontId="56" fillId="0" borderId="0" xfId="0" applyFont="1" applyAlignment="1">
      <alignment horizontal="left" vertical="top" wrapText="1"/>
    </xf>
    <xf numFmtId="0" fontId="9" fillId="0" borderId="0" xfId="0" applyFont="1" applyAlignment="1">
      <alignment horizontal="left" vertical="top" wrapText="1"/>
    </xf>
    <xf numFmtId="0" fontId="47" fillId="0" borderId="0" xfId="0" applyFont="1" applyAlignment="1">
      <alignment horizontal="left" vertical="top" wrapText="1"/>
    </xf>
    <xf numFmtId="0" fontId="89" fillId="0" borderId="0" xfId="0" applyFont="1" applyFill="1" applyAlignment="1">
      <alignment horizontal="left" vertical="center" wrapText="1" indent="7"/>
    </xf>
    <xf numFmtId="0" fontId="47" fillId="0" borderId="0" xfId="0" applyFont="1" applyFill="1" applyAlignment="1">
      <alignment horizontal="left" vertical="center" wrapText="1" indent="7"/>
    </xf>
    <xf numFmtId="0" fontId="47" fillId="0" borderId="0" xfId="0" applyFont="1" applyFill="1" applyAlignment="1">
      <alignment horizontal="left" vertical="top" wrapText="1"/>
    </xf>
    <xf numFmtId="0" fontId="49" fillId="0" borderId="0" xfId="0" applyFont="1" applyFill="1" applyAlignment="1">
      <alignment horizontal="left" vertical="center" wrapText="1" indent="7"/>
    </xf>
    <xf numFmtId="0" fontId="50" fillId="0" borderId="0" xfId="0" applyFont="1" applyAlignment="1">
      <alignment horizontal="left" vertical="center"/>
    </xf>
    <xf numFmtId="0" fontId="47" fillId="0" borderId="0" xfId="0" applyFont="1" applyAlignment="1">
      <alignment horizontal="left" vertical="center" wrapText="1"/>
    </xf>
    <xf numFmtId="0" fontId="104" fillId="0" borderId="0" xfId="0" applyFont="1" applyAlignment="1">
      <alignment horizontal="left" vertical="center" wrapText="1"/>
    </xf>
    <xf numFmtId="0" fontId="84" fillId="0" borderId="0" xfId="0" applyFont="1" applyAlignment="1">
      <alignment vertical="center" wrapText="1"/>
    </xf>
    <xf numFmtId="0" fontId="84" fillId="0" borderId="0" xfId="0" quotePrefix="1" applyFont="1" applyAlignment="1">
      <alignment horizontal="left" vertical="center" wrapText="1"/>
    </xf>
  </cellXfs>
  <cellStyles count="131">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40% - Accent1" xfId="13" xr:uid="{00000000-0005-0000-0000-000006000000}"/>
    <cellStyle name="40% - Accent2" xfId="14" xr:uid="{00000000-0005-0000-0000-000007000000}"/>
    <cellStyle name="40% - Accent3" xfId="15" xr:uid="{00000000-0005-0000-0000-000008000000}"/>
    <cellStyle name="40% - Accent4" xfId="16" xr:uid="{00000000-0005-0000-0000-000009000000}"/>
    <cellStyle name="40% - Accent5" xfId="17" xr:uid="{00000000-0005-0000-0000-00000A000000}"/>
    <cellStyle name="40% - Accent6" xfId="18" xr:uid="{00000000-0005-0000-0000-00000B000000}"/>
    <cellStyle name="60% - Accent1" xfId="19" xr:uid="{00000000-0005-0000-0000-00000C000000}"/>
    <cellStyle name="60% - Accent2" xfId="20" xr:uid="{00000000-0005-0000-0000-00000D000000}"/>
    <cellStyle name="60% - Accent3" xfId="21" xr:uid="{00000000-0005-0000-0000-00000E000000}"/>
    <cellStyle name="60% - Accent4" xfId="22" xr:uid="{00000000-0005-0000-0000-00000F000000}"/>
    <cellStyle name="60% - Accent5" xfId="23" xr:uid="{00000000-0005-0000-0000-000010000000}"/>
    <cellStyle name="60% - Accent6" xfId="24" xr:uid="{00000000-0005-0000-0000-000011000000}"/>
    <cellStyle name="Accent1" xfId="25" xr:uid="{00000000-0005-0000-0000-000012000000}"/>
    <cellStyle name="Accent1 - 20%" xfId="26" xr:uid="{00000000-0005-0000-0000-000013000000}"/>
    <cellStyle name="Accent1 - 40%" xfId="27" xr:uid="{00000000-0005-0000-0000-000014000000}"/>
    <cellStyle name="Accent1 - 60%" xfId="28" xr:uid="{00000000-0005-0000-0000-000015000000}"/>
    <cellStyle name="Accent2" xfId="29" xr:uid="{00000000-0005-0000-0000-000016000000}"/>
    <cellStyle name="Accent2 - 20%" xfId="30" xr:uid="{00000000-0005-0000-0000-000017000000}"/>
    <cellStyle name="Accent2 - 40%" xfId="31" xr:uid="{00000000-0005-0000-0000-000018000000}"/>
    <cellStyle name="Accent2 - 60%" xfId="32" xr:uid="{00000000-0005-0000-0000-000019000000}"/>
    <cellStyle name="Accent3" xfId="33" xr:uid="{00000000-0005-0000-0000-00001A000000}"/>
    <cellStyle name="Accent3 - 20%" xfId="34" xr:uid="{00000000-0005-0000-0000-00001B000000}"/>
    <cellStyle name="Accent3 - 40%" xfId="35" xr:uid="{00000000-0005-0000-0000-00001C000000}"/>
    <cellStyle name="Accent3 - 60%" xfId="36" xr:uid="{00000000-0005-0000-0000-00001D000000}"/>
    <cellStyle name="Accent4" xfId="37" xr:uid="{00000000-0005-0000-0000-00001E000000}"/>
    <cellStyle name="Accent4 - 20%" xfId="38" xr:uid="{00000000-0005-0000-0000-00001F000000}"/>
    <cellStyle name="Accent4 - 40%" xfId="39" xr:uid="{00000000-0005-0000-0000-000020000000}"/>
    <cellStyle name="Accent4 - 60%" xfId="40" xr:uid="{00000000-0005-0000-0000-000021000000}"/>
    <cellStyle name="Accent5" xfId="41" xr:uid="{00000000-0005-0000-0000-000022000000}"/>
    <cellStyle name="Accent5 - 20%" xfId="42" xr:uid="{00000000-0005-0000-0000-000023000000}"/>
    <cellStyle name="Accent5 - 40%" xfId="43" xr:uid="{00000000-0005-0000-0000-000024000000}"/>
    <cellStyle name="Accent5 - 60%" xfId="44" xr:uid="{00000000-0005-0000-0000-000025000000}"/>
    <cellStyle name="Accent6" xfId="45" xr:uid="{00000000-0005-0000-0000-000026000000}"/>
    <cellStyle name="Accent6 - 20%" xfId="46" xr:uid="{00000000-0005-0000-0000-000027000000}"/>
    <cellStyle name="Accent6 - 40%" xfId="47" xr:uid="{00000000-0005-0000-0000-000028000000}"/>
    <cellStyle name="Accent6 - 60%" xfId="48" xr:uid="{00000000-0005-0000-0000-000029000000}"/>
    <cellStyle name="Bad" xfId="49" xr:uid="{00000000-0005-0000-0000-00002A000000}"/>
    <cellStyle name="Calculation" xfId="50" xr:uid="{00000000-0005-0000-0000-00002B000000}"/>
    <cellStyle name="Check Cell" xfId="51" xr:uid="{00000000-0005-0000-0000-00002C000000}"/>
    <cellStyle name="Emphasis 1" xfId="52" xr:uid="{00000000-0005-0000-0000-00002D000000}"/>
    <cellStyle name="Emphasis 2" xfId="53" xr:uid="{00000000-0005-0000-0000-00002E000000}"/>
    <cellStyle name="Emphasis 3" xfId="54" xr:uid="{00000000-0005-0000-0000-00002F000000}"/>
    <cellStyle name="Explanatory Text" xfId="55" xr:uid="{00000000-0005-0000-0000-000030000000}"/>
    <cellStyle name="Good" xfId="56" xr:uid="{00000000-0005-0000-0000-000031000000}"/>
    <cellStyle name="Heading 1" xfId="57" xr:uid="{00000000-0005-0000-0000-000032000000}"/>
    <cellStyle name="Heading 2" xfId="58" xr:uid="{00000000-0005-0000-0000-000033000000}"/>
    <cellStyle name="Heading 3" xfId="59" xr:uid="{00000000-0005-0000-0000-000034000000}"/>
    <cellStyle name="Heading 4" xfId="60" xr:uid="{00000000-0005-0000-0000-000035000000}"/>
    <cellStyle name="Input" xfId="61" xr:uid="{00000000-0005-0000-0000-000036000000}"/>
    <cellStyle name="Įprastas" xfId="0" builtinId="0"/>
    <cellStyle name="Įprastas 10" xfId="123" xr:uid="{00000000-0005-0000-0000-000038000000}"/>
    <cellStyle name="Įprastas 11" xfId="124" xr:uid="{00000000-0005-0000-0000-000039000000}"/>
    <cellStyle name="Įprastas 12" xfId="125" xr:uid="{00000000-0005-0000-0000-00003A000000}"/>
    <cellStyle name="Įprastas 13" xfId="126" xr:uid="{00000000-0005-0000-0000-00003B000000}"/>
    <cellStyle name="Įprastas 14" xfId="127" xr:uid="{00000000-0005-0000-0000-00003C000000}"/>
    <cellStyle name="Įprastas 15" xfId="128" xr:uid="{00000000-0005-0000-0000-00003D000000}"/>
    <cellStyle name="Įprastas 16" xfId="129" xr:uid="{00000000-0005-0000-0000-00003E000000}"/>
    <cellStyle name="Įprastas 17" xfId="130" xr:uid="{00000000-0005-0000-0000-00003F000000}"/>
    <cellStyle name="Įprastas 2" xfId="62" xr:uid="{00000000-0005-0000-0000-000040000000}"/>
    <cellStyle name="Įprastas 3" xfId="111" xr:uid="{00000000-0005-0000-0000-000041000000}"/>
    <cellStyle name="Įprastas 4" xfId="112" xr:uid="{00000000-0005-0000-0000-000042000000}"/>
    <cellStyle name="Įprastas 5" xfId="113" xr:uid="{00000000-0005-0000-0000-000043000000}"/>
    <cellStyle name="Įprastas 6" xfId="118" xr:uid="{00000000-0005-0000-0000-000044000000}"/>
    <cellStyle name="Įprastas 7" xfId="119" xr:uid="{00000000-0005-0000-0000-000045000000}"/>
    <cellStyle name="Įprastas 8" xfId="121" xr:uid="{00000000-0005-0000-0000-000046000000}"/>
    <cellStyle name="Įprastas 9" xfId="122" xr:uid="{00000000-0005-0000-0000-000047000000}"/>
    <cellStyle name="Linked Cell" xfId="63" xr:uid="{00000000-0005-0000-0000-000048000000}"/>
    <cellStyle name="Neutral" xfId="64" xr:uid="{00000000-0005-0000-0000-000049000000}"/>
    <cellStyle name="Normal_____3lentelė - 2,3,4 lapai_3_variantas" xfId="65" xr:uid="{00000000-0005-0000-0000-00004A000000}"/>
    <cellStyle name="Normal_2003 metų biudžetas.vasara" xfId="6" xr:uid="{00000000-0005-0000-0000-00004B000000}"/>
    <cellStyle name="Normal_2003_Pensijos.II" xfId="3" xr:uid="{00000000-0005-0000-0000-00004C000000}"/>
    <cellStyle name="Normal_2003_Pensijos.II 2 2" xfId="120" xr:uid="{00000000-0005-0000-0000-00004D000000}"/>
    <cellStyle name="Normal_2011-10-11    3 lenta baltas" xfId="4" xr:uid="{00000000-0005-0000-0000-00004E000000}"/>
    <cellStyle name="Normal_3lentelė - 2,3,4 lapai" xfId="5" xr:uid="{00000000-0005-0000-0000-00004F000000}"/>
    <cellStyle name="Normal_3lentele_1lapas" xfId="2" xr:uid="{00000000-0005-0000-0000-000050000000}"/>
    <cellStyle name="Normal_4 lentelė_2012_09siūloma" xfId="117" xr:uid="{00000000-0005-0000-0000-000051000000}"/>
    <cellStyle name="Normal_5 lentelė  _2010_2lapas_09.28._pataisos" xfId="115" xr:uid="{00000000-0005-0000-0000-000052000000}"/>
    <cellStyle name="Normal_6 lentelė_2012_09siūloma" xfId="116" xr:uid="{00000000-0005-0000-0000-000053000000}"/>
    <cellStyle name="Normal_Sheet1 (2)" xfId="1" xr:uid="{00000000-0005-0000-0000-000054000000}"/>
    <cellStyle name="Note" xfId="66" xr:uid="{00000000-0005-0000-0000-000055000000}"/>
    <cellStyle name="Output" xfId="67" xr:uid="{00000000-0005-0000-0000-000056000000}"/>
    <cellStyle name="Paprastas_Apdraust27" xfId="114" xr:uid="{00000000-0005-0000-0000-000057000000}"/>
    <cellStyle name="SAPBEXaggData" xfId="68" xr:uid="{00000000-0005-0000-0000-000058000000}"/>
    <cellStyle name="SAPBEXaggDataEmph" xfId="69" xr:uid="{00000000-0005-0000-0000-000059000000}"/>
    <cellStyle name="SAPBEXaggItem" xfId="70" xr:uid="{00000000-0005-0000-0000-00005A000000}"/>
    <cellStyle name="SAPBEXaggItemX" xfId="71" xr:uid="{00000000-0005-0000-0000-00005B000000}"/>
    <cellStyle name="SAPBEXchaText" xfId="72" xr:uid="{00000000-0005-0000-0000-00005C000000}"/>
    <cellStyle name="SAPBEXexcBad7" xfId="73" xr:uid="{00000000-0005-0000-0000-00005D000000}"/>
    <cellStyle name="SAPBEXexcBad8" xfId="74" xr:uid="{00000000-0005-0000-0000-00005E000000}"/>
    <cellStyle name="SAPBEXexcBad9" xfId="75" xr:uid="{00000000-0005-0000-0000-00005F000000}"/>
    <cellStyle name="SAPBEXexcCritical4" xfId="76" xr:uid="{00000000-0005-0000-0000-000060000000}"/>
    <cellStyle name="SAPBEXexcCritical5" xfId="77" xr:uid="{00000000-0005-0000-0000-000061000000}"/>
    <cellStyle name="SAPBEXexcCritical6" xfId="78" xr:uid="{00000000-0005-0000-0000-000062000000}"/>
    <cellStyle name="SAPBEXexcGood1" xfId="79" xr:uid="{00000000-0005-0000-0000-000063000000}"/>
    <cellStyle name="SAPBEXexcGood2" xfId="80" xr:uid="{00000000-0005-0000-0000-000064000000}"/>
    <cellStyle name="SAPBEXexcGood3" xfId="81" xr:uid="{00000000-0005-0000-0000-000065000000}"/>
    <cellStyle name="SAPBEXfilterDrill" xfId="82" xr:uid="{00000000-0005-0000-0000-000066000000}"/>
    <cellStyle name="SAPBEXfilterItem" xfId="83" xr:uid="{00000000-0005-0000-0000-000067000000}"/>
    <cellStyle name="SAPBEXfilterText" xfId="84" xr:uid="{00000000-0005-0000-0000-000068000000}"/>
    <cellStyle name="SAPBEXformats" xfId="85" xr:uid="{00000000-0005-0000-0000-000069000000}"/>
    <cellStyle name="SAPBEXheaderItem" xfId="86" xr:uid="{00000000-0005-0000-0000-00006A000000}"/>
    <cellStyle name="SAPBEXheaderText" xfId="87" xr:uid="{00000000-0005-0000-0000-00006B000000}"/>
    <cellStyle name="SAPBEXHLevel0" xfId="88" xr:uid="{00000000-0005-0000-0000-00006C000000}"/>
    <cellStyle name="SAPBEXHLevel0X" xfId="89" xr:uid="{00000000-0005-0000-0000-00006D000000}"/>
    <cellStyle name="SAPBEXHLevel1" xfId="90" xr:uid="{00000000-0005-0000-0000-00006E000000}"/>
    <cellStyle name="SAPBEXHLevel1X" xfId="91" xr:uid="{00000000-0005-0000-0000-00006F000000}"/>
    <cellStyle name="SAPBEXHLevel2" xfId="92" xr:uid="{00000000-0005-0000-0000-000070000000}"/>
    <cellStyle name="SAPBEXHLevel2X" xfId="93" xr:uid="{00000000-0005-0000-0000-000071000000}"/>
    <cellStyle name="SAPBEXHLevel3" xfId="94" xr:uid="{00000000-0005-0000-0000-000072000000}"/>
    <cellStyle name="SAPBEXHLevel3X" xfId="95" xr:uid="{00000000-0005-0000-0000-000073000000}"/>
    <cellStyle name="SAPBEXinputData" xfId="96" xr:uid="{00000000-0005-0000-0000-000074000000}"/>
    <cellStyle name="SAPBEXresData" xfId="97" xr:uid="{00000000-0005-0000-0000-000075000000}"/>
    <cellStyle name="SAPBEXresDataEmph" xfId="98" xr:uid="{00000000-0005-0000-0000-000076000000}"/>
    <cellStyle name="SAPBEXresItem" xfId="99" xr:uid="{00000000-0005-0000-0000-000077000000}"/>
    <cellStyle name="SAPBEXresItemX" xfId="100" xr:uid="{00000000-0005-0000-0000-000078000000}"/>
    <cellStyle name="SAPBEXstdData" xfId="101" xr:uid="{00000000-0005-0000-0000-000079000000}"/>
    <cellStyle name="SAPBEXstdDataEmph" xfId="102" xr:uid="{00000000-0005-0000-0000-00007A000000}"/>
    <cellStyle name="SAPBEXstdItem" xfId="103" xr:uid="{00000000-0005-0000-0000-00007B000000}"/>
    <cellStyle name="SAPBEXstdItemX" xfId="104" xr:uid="{00000000-0005-0000-0000-00007C000000}"/>
    <cellStyle name="SAPBEXtitle" xfId="105" xr:uid="{00000000-0005-0000-0000-00007D000000}"/>
    <cellStyle name="SAPBEXundefined" xfId="106" xr:uid="{00000000-0005-0000-0000-00007E000000}"/>
    <cellStyle name="Sheet Title" xfId="107" xr:uid="{00000000-0005-0000-0000-00007F000000}"/>
    <cellStyle name="Title" xfId="108" xr:uid="{00000000-0005-0000-0000-000080000000}"/>
    <cellStyle name="Total" xfId="109" xr:uid="{00000000-0005-0000-0000-000081000000}"/>
    <cellStyle name="Warning Text" xfId="110" xr:uid="{00000000-0005-0000-0000-00008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725614</xdr:colOff>
      <xdr:row>7</xdr:row>
      <xdr:rowOff>15091</xdr:rowOff>
    </xdr:from>
    <xdr:to>
      <xdr:col>1</xdr:col>
      <xdr:colOff>2068638</xdr:colOff>
      <xdr:row>7</xdr:row>
      <xdr:rowOff>344078</xdr:rowOff>
    </xdr:to>
    <xdr:pic>
      <xdr:nvPicPr>
        <xdr:cNvPr id="2" name="Paveikslėlis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9014" y="2224891"/>
          <a:ext cx="1343024" cy="328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3"/>
  <dimension ref="A1:H81"/>
  <sheetViews>
    <sheetView zoomScaleNormal="100" workbookViewId="0">
      <pane xSplit="1" ySplit="8" topLeftCell="B9" activePane="bottomRight" state="frozen"/>
      <selection pane="topRight" activeCell="B1" sqref="B1"/>
      <selection pane="bottomLeft" activeCell="A8" sqref="A8"/>
      <selection pane="bottomRight" activeCell="H73" sqref="A1:H73"/>
    </sheetView>
  </sheetViews>
  <sheetFormatPr defaultColWidth="8.88671875" defaultRowHeight="13.2"/>
  <cols>
    <col min="1" max="1" width="45.6640625" style="370" customWidth="1"/>
    <col min="2" max="2" width="9.33203125" style="370" customWidth="1"/>
    <col min="3" max="3" width="8.88671875" style="370" customWidth="1"/>
    <col min="4" max="4" width="10.33203125" style="370" customWidth="1"/>
    <col min="5" max="5" width="10.88671875" style="370" customWidth="1"/>
    <col min="6" max="6" width="9.44140625" style="371" customWidth="1"/>
    <col min="7" max="16384" width="8.88671875" style="370"/>
  </cols>
  <sheetData>
    <row r="1" spans="1:8">
      <c r="H1" s="370" t="s">
        <v>69</v>
      </c>
    </row>
    <row r="2" spans="1:8">
      <c r="H2" s="370" t="s">
        <v>20</v>
      </c>
    </row>
    <row r="3" spans="1:8" ht="18" customHeight="1">
      <c r="A3" s="411" t="s">
        <v>70</v>
      </c>
      <c r="B3" s="411"/>
      <c r="C3" s="411"/>
      <c r="D3" s="411"/>
      <c r="E3" s="411"/>
      <c r="F3" s="411"/>
      <c r="G3" s="411"/>
    </row>
    <row r="4" spans="1:8" ht="24" customHeight="1">
      <c r="A4" s="412" t="s">
        <v>405</v>
      </c>
      <c r="B4" s="412"/>
      <c r="C4" s="412"/>
      <c r="D4" s="412"/>
      <c r="E4" s="412"/>
      <c r="F4" s="412"/>
      <c r="G4" s="412"/>
      <c r="H4" s="412"/>
    </row>
    <row r="5" spans="1:8" ht="15.6" customHeight="1">
      <c r="A5" s="413" t="s">
        <v>71</v>
      </c>
      <c r="B5" s="413"/>
      <c r="C5" s="413"/>
      <c r="D5" s="413"/>
      <c r="E5" s="413"/>
      <c r="F5" s="413"/>
      <c r="G5" s="413"/>
    </row>
    <row r="6" spans="1:8" ht="15.6" customHeight="1"/>
    <row r="7" spans="1:8" ht="23.25" customHeight="1">
      <c r="A7" s="410"/>
      <c r="B7" s="401" t="s">
        <v>72</v>
      </c>
      <c r="C7" s="399" t="s">
        <v>136</v>
      </c>
      <c r="D7" s="399" t="s">
        <v>159</v>
      </c>
      <c r="E7" s="399" t="s">
        <v>250</v>
      </c>
      <c r="F7" s="400" t="s">
        <v>337</v>
      </c>
      <c r="G7" s="399" t="s">
        <v>372</v>
      </c>
      <c r="H7" s="399" t="s">
        <v>408</v>
      </c>
    </row>
    <row r="8" spans="1:8" ht="15" customHeight="1">
      <c r="A8" s="409"/>
      <c r="B8" s="398" t="s">
        <v>2</v>
      </c>
      <c r="C8" s="396" t="s">
        <v>73</v>
      </c>
      <c r="D8" s="396" t="s">
        <v>73</v>
      </c>
      <c r="E8" s="396" t="s">
        <v>3</v>
      </c>
      <c r="F8" s="397" t="s">
        <v>74</v>
      </c>
      <c r="G8" s="396" t="s">
        <v>75</v>
      </c>
      <c r="H8" s="396" t="s">
        <v>75</v>
      </c>
    </row>
    <row r="9" spans="1:8" s="385" customFormat="1" ht="21.75" customHeight="1">
      <c r="A9" s="87" t="s">
        <v>76</v>
      </c>
      <c r="D9" s="408"/>
      <c r="E9" s="408"/>
    </row>
    <row r="10" spans="1:8" s="375" customFormat="1" ht="21" customHeight="1">
      <c r="A10" s="88" t="s">
        <v>176</v>
      </c>
      <c r="B10" s="375" t="s">
        <v>5</v>
      </c>
      <c r="C10" s="406">
        <v>1191.1649</v>
      </c>
      <c r="D10" s="406">
        <v>1296.2</v>
      </c>
      <c r="E10" s="406">
        <v>1380.7</v>
      </c>
      <c r="F10" s="394">
        <v>1426.2</v>
      </c>
      <c r="G10" s="406">
        <v>1481.1</v>
      </c>
      <c r="H10" s="406">
        <v>1548.2</v>
      </c>
    </row>
    <row r="11" spans="1:8" s="375" customFormat="1" ht="17.25" customHeight="1">
      <c r="A11" s="407" t="s">
        <v>340</v>
      </c>
      <c r="B11" s="375" t="s">
        <v>339</v>
      </c>
      <c r="C11" s="406">
        <v>15529.6142</v>
      </c>
      <c r="D11" s="406">
        <v>17214.832200000004</v>
      </c>
      <c r="E11" s="406">
        <v>18034.703399999999</v>
      </c>
      <c r="F11" s="394">
        <v>18913.465727999999</v>
      </c>
      <c r="G11" s="406">
        <v>19813.56336</v>
      </c>
      <c r="H11" s="406">
        <v>20723.090496000001</v>
      </c>
    </row>
    <row r="12" spans="1:8" s="375" customFormat="1" ht="13.5" hidden="1" customHeight="1">
      <c r="A12" s="89"/>
      <c r="F12" s="376"/>
    </row>
    <row r="13" spans="1:8" s="375" customFormat="1" ht="22.5" customHeight="1">
      <c r="A13" s="87" t="s">
        <v>77</v>
      </c>
      <c r="F13" s="376"/>
    </row>
    <row r="14" spans="1:8" s="375" customFormat="1" ht="27" customHeight="1">
      <c r="A14" s="90" t="s">
        <v>160</v>
      </c>
      <c r="B14" s="375" t="s">
        <v>210</v>
      </c>
      <c r="C14" s="406">
        <v>1335.5</v>
      </c>
      <c r="D14" s="406">
        <v>1356.2</v>
      </c>
      <c r="E14" s="406">
        <v>1333.8366388073186</v>
      </c>
      <c r="F14" s="394">
        <v>1354.2026148633383</v>
      </c>
      <c r="G14" s="406">
        <v>1366.0643867178676</v>
      </c>
      <c r="H14" s="406">
        <v>1366.8486360966797</v>
      </c>
    </row>
    <row r="15" spans="1:8" s="375" customFormat="1" ht="21" customHeight="1">
      <c r="A15" s="88" t="s">
        <v>257</v>
      </c>
      <c r="B15" s="375" t="s">
        <v>338</v>
      </c>
      <c r="C15" s="389">
        <v>16678.8768036</v>
      </c>
      <c r="D15" s="389">
        <v>18377.136999999999</v>
      </c>
      <c r="E15" s="389">
        <v>19174.296669171366</v>
      </c>
      <c r="F15" s="390">
        <v>19955.61842873499</v>
      </c>
      <c r="G15" s="389">
        <v>20906.121635385567</v>
      </c>
      <c r="H15" s="389">
        <v>21864.463735116657</v>
      </c>
    </row>
    <row r="16" spans="1:8" s="375" customFormat="1" ht="28.5" customHeight="1">
      <c r="A16" s="90" t="s">
        <v>78</v>
      </c>
      <c r="B16" s="375" t="s">
        <v>211</v>
      </c>
      <c r="C16" s="389">
        <v>3002.4</v>
      </c>
      <c r="D16" s="389">
        <v>1478.6</v>
      </c>
      <c r="E16" s="389">
        <v>1500</v>
      </c>
      <c r="F16" s="390">
        <v>1500</v>
      </c>
      <c r="G16" s="389">
        <v>1500</v>
      </c>
      <c r="H16" s="389">
        <v>1500</v>
      </c>
    </row>
    <row r="17" spans="1:8" s="375" customFormat="1" ht="30" customHeight="1">
      <c r="A17" s="90" t="s">
        <v>79</v>
      </c>
      <c r="B17" s="375" t="s">
        <v>210</v>
      </c>
      <c r="C17" s="406">
        <v>9.1170000000000009</v>
      </c>
      <c r="D17" s="406">
        <v>7.8470000000000004</v>
      </c>
      <c r="E17" s="406">
        <v>10</v>
      </c>
      <c r="F17" s="394">
        <v>10</v>
      </c>
      <c r="G17" s="406">
        <v>10</v>
      </c>
      <c r="H17" s="406">
        <v>10</v>
      </c>
    </row>
    <row r="18" spans="1:8" s="375" customFormat="1" ht="30" customHeight="1">
      <c r="A18" s="90" t="s">
        <v>80</v>
      </c>
      <c r="B18" s="375" t="s">
        <v>210</v>
      </c>
      <c r="C18" s="406">
        <v>4.4260000000000002</v>
      </c>
      <c r="D18" s="406">
        <v>3.9340000000000002</v>
      </c>
      <c r="E18" s="406">
        <v>6.0789999999999997</v>
      </c>
      <c r="F18" s="394">
        <v>6.0789999999999997</v>
      </c>
      <c r="G18" s="406">
        <v>6.0789999999999997</v>
      </c>
      <c r="H18" s="406">
        <v>6.0789999999999997</v>
      </c>
    </row>
    <row r="19" spans="1:8" s="375" customFormat="1" ht="19.5" customHeight="1">
      <c r="A19" s="88" t="s">
        <v>81</v>
      </c>
      <c r="B19" s="375" t="s">
        <v>210</v>
      </c>
      <c r="C19" s="406">
        <v>18.795000000000002</v>
      </c>
      <c r="D19" s="406">
        <v>18.641999999999999</v>
      </c>
      <c r="E19" s="406">
        <v>22</v>
      </c>
      <c r="F19" s="394">
        <v>22</v>
      </c>
      <c r="G19" s="406">
        <v>22</v>
      </c>
      <c r="H19" s="406">
        <v>22</v>
      </c>
    </row>
    <row r="20" spans="1:8" s="375" customFormat="1" ht="18.75" customHeight="1">
      <c r="A20" s="88" t="s">
        <v>82</v>
      </c>
      <c r="B20" s="375" t="s">
        <v>210</v>
      </c>
      <c r="C20" s="389">
        <v>3.7360000000000002</v>
      </c>
      <c r="D20" s="389">
        <v>3.4449999999999998</v>
      </c>
      <c r="E20" s="389">
        <v>17</v>
      </c>
      <c r="F20" s="390">
        <v>17</v>
      </c>
      <c r="G20" s="389">
        <v>17</v>
      </c>
      <c r="H20" s="389">
        <v>17</v>
      </c>
    </row>
    <row r="21" spans="1:8" s="375" customFormat="1" ht="27.75" customHeight="1">
      <c r="A21" s="91" t="s">
        <v>258</v>
      </c>
      <c r="B21" s="375" t="s">
        <v>210</v>
      </c>
      <c r="C21" s="389">
        <v>9.0830000000000002</v>
      </c>
      <c r="D21" s="389">
        <v>9.1649999999999991</v>
      </c>
      <c r="E21" s="389">
        <v>10</v>
      </c>
      <c r="F21" s="390">
        <v>10</v>
      </c>
      <c r="G21" s="389">
        <v>10</v>
      </c>
      <c r="H21" s="389">
        <v>10</v>
      </c>
    </row>
    <row r="22" spans="1:8" s="375" customFormat="1" ht="35.25" customHeight="1">
      <c r="A22" s="84" t="s">
        <v>198</v>
      </c>
      <c r="B22" s="375" t="s">
        <v>210</v>
      </c>
      <c r="C22" s="406">
        <v>1.3</v>
      </c>
      <c r="D22" s="406">
        <v>1.3</v>
      </c>
      <c r="E22" s="406">
        <v>1.3</v>
      </c>
      <c r="F22" s="394">
        <v>1.6</v>
      </c>
      <c r="G22" s="406">
        <v>1.6</v>
      </c>
      <c r="H22" s="406">
        <v>1.6</v>
      </c>
    </row>
    <row r="23" spans="1:8" s="375" customFormat="1" ht="29.25" customHeight="1">
      <c r="A23" s="97" t="s">
        <v>173</v>
      </c>
      <c r="B23" s="375" t="s">
        <v>210</v>
      </c>
      <c r="C23" s="406">
        <v>66.611999999999995</v>
      </c>
      <c r="D23" s="406">
        <v>68.650999999999996</v>
      </c>
      <c r="E23" s="406">
        <v>65</v>
      </c>
      <c r="F23" s="394">
        <v>65</v>
      </c>
      <c r="G23" s="406">
        <v>65</v>
      </c>
      <c r="H23" s="406">
        <v>64.25</v>
      </c>
    </row>
    <row r="24" spans="1:8" s="375" customFormat="1" ht="31.5" customHeight="1">
      <c r="A24" s="91" t="s">
        <v>199</v>
      </c>
      <c r="B24" s="375" t="s">
        <v>210</v>
      </c>
      <c r="C24" s="406">
        <v>0.87</v>
      </c>
      <c r="D24" s="406">
        <v>0.89600000000000002</v>
      </c>
      <c r="E24" s="406">
        <v>0.9</v>
      </c>
      <c r="F24" s="394">
        <v>0.9</v>
      </c>
      <c r="G24" s="406">
        <v>0.9</v>
      </c>
      <c r="H24" s="406">
        <v>0.9</v>
      </c>
    </row>
    <row r="25" spans="1:8" s="375" customFormat="1" ht="33" customHeight="1">
      <c r="A25" s="91" t="s">
        <v>83</v>
      </c>
      <c r="B25" s="375" t="s">
        <v>210</v>
      </c>
      <c r="C25" s="406">
        <v>4.1310000000000002</v>
      </c>
      <c r="D25" s="406">
        <v>4.2640000000000002</v>
      </c>
      <c r="E25" s="406">
        <v>12.9</v>
      </c>
      <c r="F25" s="394">
        <v>12.9</v>
      </c>
      <c r="G25" s="406">
        <v>10.8</v>
      </c>
      <c r="H25" s="406">
        <v>9.8000000000000007</v>
      </c>
    </row>
    <row r="26" spans="1:8" s="375" customFormat="1" ht="34.5" customHeight="1">
      <c r="A26" s="91" t="s">
        <v>200</v>
      </c>
      <c r="B26" s="375" t="s">
        <v>210</v>
      </c>
      <c r="C26" s="406">
        <v>3.0950000000000002</v>
      </c>
      <c r="D26" s="406">
        <v>2.7189999999999999</v>
      </c>
      <c r="E26" s="406">
        <v>3</v>
      </c>
      <c r="F26" s="394">
        <v>3</v>
      </c>
      <c r="G26" s="406">
        <v>3</v>
      </c>
      <c r="H26" s="406">
        <v>3</v>
      </c>
    </row>
    <row r="27" spans="1:8" s="375" customFormat="1" ht="34.5" customHeight="1">
      <c r="A27" s="92" t="s">
        <v>137</v>
      </c>
      <c r="B27" s="375" t="s">
        <v>210</v>
      </c>
      <c r="C27" s="406">
        <v>0.35</v>
      </c>
      <c r="D27" s="406">
        <v>0.22600000000000001</v>
      </c>
      <c r="E27" s="406">
        <v>0.4</v>
      </c>
      <c r="F27" s="394">
        <v>0.4</v>
      </c>
      <c r="G27" s="406">
        <v>0.4</v>
      </c>
      <c r="H27" s="406">
        <v>0.4</v>
      </c>
    </row>
    <row r="28" spans="1:8" s="405" customFormat="1" ht="33.75" customHeight="1">
      <c r="A28" s="99" t="s">
        <v>84</v>
      </c>
      <c r="B28" s="375" t="s">
        <v>211</v>
      </c>
      <c r="C28" s="393">
        <v>3627242.7</v>
      </c>
      <c r="D28" s="393">
        <v>307992.10000000003</v>
      </c>
      <c r="E28" s="393">
        <v>320552.15000000002</v>
      </c>
      <c r="F28" s="393">
        <v>339063.15</v>
      </c>
      <c r="G28" s="393">
        <v>352293.15</v>
      </c>
      <c r="H28" s="393">
        <v>365330.15</v>
      </c>
    </row>
    <row r="29" spans="1:8" s="375" customFormat="1" ht="20.25" customHeight="1">
      <c r="A29" s="101" t="s">
        <v>174</v>
      </c>
      <c r="B29" s="375" t="s">
        <v>211</v>
      </c>
      <c r="C29" s="392">
        <v>2895364.5</v>
      </c>
      <c r="D29" s="392">
        <v>3521.5</v>
      </c>
      <c r="E29" s="392">
        <v>0</v>
      </c>
      <c r="F29" s="393">
        <v>0</v>
      </c>
      <c r="G29" s="392">
        <v>0</v>
      </c>
      <c r="H29" s="392">
        <v>0</v>
      </c>
    </row>
    <row r="30" spans="1:8" s="375" customFormat="1" ht="19.5" customHeight="1">
      <c r="A30" s="101" t="s">
        <v>177</v>
      </c>
      <c r="B30" s="375" t="s">
        <v>211</v>
      </c>
      <c r="C30" s="392">
        <v>181363.7</v>
      </c>
      <c r="D30" s="392">
        <v>93.4</v>
      </c>
      <c r="E30" s="392">
        <v>0</v>
      </c>
      <c r="F30" s="393">
        <v>0</v>
      </c>
      <c r="G30" s="392">
        <v>0</v>
      </c>
      <c r="H30" s="392">
        <v>0</v>
      </c>
    </row>
    <row r="31" spans="1:8" s="375" customFormat="1" ht="18.75" customHeight="1">
      <c r="A31" s="94" t="s">
        <v>178</v>
      </c>
      <c r="B31" s="375" t="s">
        <v>211</v>
      </c>
      <c r="C31" s="392">
        <v>285307.90000000002</v>
      </c>
      <c r="D31" s="392">
        <v>487.6</v>
      </c>
      <c r="E31" s="392">
        <v>0</v>
      </c>
      <c r="F31" s="393">
        <v>0</v>
      </c>
      <c r="G31" s="392">
        <v>0</v>
      </c>
      <c r="H31" s="392">
        <v>0</v>
      </c>
    </row>
    <row r="32" spans="1:8" s="375" customFormat="1" ht="18.75" customHeight="1">
      <c r="A32" s="101" t="s">
        <v>179</v>
      </c>
      <c r="B32" s="375" t="s">
        <v>211</v>
      </c>
      <c r="C32" s="392">
        <v>188910.7</v>
      </c>
      <c r="D32" s="392">
        <v>246795.7</v>
      </c>
      <c r="E32" s="392">
        <v>252405</v>
      </c>
      <c r="F32" s="393">
        <v>262883</v>
      </c>
      <c r="G32" s="392">
        <v>275109</v>
      </c>
      <c r="H32" s="392">
        <v>287663</v>
      </c>
    </row>
    <row r="33" spans="1:8" s="375" customFormat="1" ht="26.4">
      <c r="A33" s="102" t="s">
        <v>180</v>
      </c>
      <c r="B33" s="375" t="s">
        <v>211</v>
      </c>
      <c r="C33" s="392">
        <v>25159.5</v>
      </c>
      <c r="D33" s="392">
        <v>27725.599999999999</v>
      </c>
      <c r="E33" s="392">
        <v>30831.15</v>
      </c>
      <c r="F33" s="393">
        <v>32110.15</v>
      </c>
      <c r="G33" s="392">
        <v>33604.15</v>
      </c>
      <c r="H33" s="392">
        <v>35137.15</v>
      </c>
    </row>
    <row r="34" spans="1:8" s="404" customFormat="1" ht="25.5" customHeight="1">
      <c r="A34" s="102" t="s">
        <v>181</v>
      </c>
      <c r="B34" s="375" t="s">
        <v>211</v>
      </c>
      <c r="C34" s="392">
        <v>49535.199999999997</v>
      </c>
      <c r="D34" s="392">
        <v>28328.5</v>
      </c>
      <c r="E34" s="392">
        <v>36085</v>
      </c>
      <c r="F34" s="393">
        <v>42479</v>
      </c>
      <c r="G34" s="392">
        <v>41989</v>
      </c>
      <c r="H34" s="392">
        <v>40939</v>
      </c>
    </row>
    <row r="35" spans="1:8" s="395" customFormat="1" ht="19.5" customHeight="1">
      <c r="A35" s="102" t="s">
        <v>182</v>
      </c>
      <c r="B35" s="375" t="s">
        <v>211</v>
      </c>
      <c r="C35" s="392">
        <v>46483.7</v>
      </c>
      <c r="D35" s="392">
        <v>24798.7</v>
      </c>
      <c r="E35" s="392">
        <v>31439</v>
      </c>
      <c r="F35" s="393">
        <v>37042</v>
      </c>
      <c r="G35" s="392">
        <v>36669</v>
      </c>
      <c r="H35" s="392">
        <v>35823</v>
      </c>
    </row>
    <row r="36" spans="1:8" s="395" customFormat="1" ht="24.75" customHeight="1">
      <c r="A36" s="102" t="s">
        <v>183</v>
      </c>
      <c r="B36" s="375" t="s">
        <v>211</v>
      </c>
      <c r="C36" s="392">
        <v>3051.5</v>
      </c>
      <c r="D36" s="392">
        <v>3529.7999999999997</v>
      </c>
      <c r="E36" s="392">
        <v>4646</v>
      </c>
      <c r="F36" s="393">
        <v>5437</v>
      </c>
      <c r="G36" s="392">
        <v>5320</v>
      </c>
      <c r="H36" s="392">
        <v>5116</v>
      </c>
    </row>
    <row r="37" spans="1:8" s="395" customFormat="1" ht="33.75" customHeight="1">
      <c r="A37" s="403" t="s">
        <v>184</v>
      </c>
      <c r="B37" s="375" t="s">
        <v>211</v>
      </c>
      <c r="C37" s="389">
        <v>41.3</v>
      </c>
      <c r="D37" s="389">
        <v>36.9</v>
      </c>
      <c r="E37" s="389">
        <v>45</v>
      </c>
      <c r="F37" s="390">
        <v>47</v>
      </c>
      <c r="G37" s="389">
        <v>47</v>
      </c>
      <c r="H37" s="389">
        <v>47</v>
      </c>
    </row>
    <row r="38" spans="1:8" s="395" customFormat="1" ht="35.25" customHeight="1">
      <c r="A38" s="84" t="s">
        <v>185</v>
      </c>
      <c r="B38" s="375" t="s">
        <v>211</v>
      </c>
      <c r="C38" s="389">
        <v>1559.9</v>
      </c>
      <c r="D38" s="389">
        <v>1002.9000000000001</v>
      </c>
      <c r="E38" s="389">
        <v>1186</v>
      </c>
      <c r="F38" s="390">
        <v>1544</v>
      </c>
      <c r="G38" s="389">
        <v>1544</v>
      </c>
      <c r="H38" s="389">
        <v>1544</v>
      </c>
    </row>
    <row r="39" spans="1:8" s="395" customFormat="1" ht="20.25" customHeight="1">
      <c r="A39" s="84" t="s">
        <v>186</v>
      </c>
      <c r="B39" s="375" t="s">
        <v>211</v>
      </c>
      <c r="C39" s="389">
        <v>1360.3</v>
      </c>
      <c r="D39" s="389">
        <v>665.9</v>
      </c>
      <c r="E39" s="389">
        <v>826</v>
      </c>
      <c r="F39" s="390">
        <v>1075</v>
      </c>
      <c r="G39" s="389">
        <v>1075</v>
      </c>
      <c r="H39" s="389">
        <v>1075</v>
      </c>
    </row>
    <row r="40" spans="1:8" s="395" customFormat="1" ht="29.25" customHeight="1">
      <c r="A40" s="84" t="s">
        <v>187</v>
      </c>
      <c r="B40" s="375" t="s">
        <v>211</v>
      </c>
      <c r="C40" s="389">
        <v>72.900000000000006</v>
      </c>
      <c r="D40" s="389">
        <v>189.3</v>
      </c>
      <c r="E40" s="389">
        <v>198</v>
      </c>
      <c r="F40" s="390">
        <v>258</v>
      </c>
      <c r="G40" s="389">
        <v>258</v>
      </c>
      <c r="H40" s="389">
        <v>258</v>
      </c>
    </row>
    <row r="41" spans="1:8" s="395" customFormat="1" ht="38.25" customHeight="1">
      <c r="A41" s="84" t="s">
        <v>188</v>
      </c>
      <c r="B41" s="375" t="s">
        <v>211</v>
      </c>
      <c r="C41" s="389">
        <v>126.7</v>
      </c>
      <c r="D41" s="389">
        <v>147.69999999999999</v>
      </c>
      <c r="E41" s="389">
        <v>162</v>
      </c>
      <c r="F41" s="390">
        <v>211</v>
      </c>
      <c r="G41" s="389">
        <v>211</v>
      </c>
      <c r="H41" s="389">
        <v>211</v>
      </c>
    </row>
    <row r="42" spans="1:8" s="395" customFormat="1" ht="63.75" customHeight="1">
      <c r="A42" s="84"/>
      <c r="B42" s="375"/>
      <c r="C42" s="389"/>
      <c r="D42" s="389"/>
      <c r="E42" s="389"/>
      <c r="F42" s="402"/>
    </row>
    <row r="43" spans="1:8" s="395" customFormat="1" ht="15.75" customHeight="1">
      <c r="A43" s="84"/>
      <c r="B43" s="375"/>
      <c r="C43" s="389"/>
      <c r="D43" s="389"/>
      <c r="E43" s="389"/>
      <c r="F43" s="390"/>
      <c r="G43" s="389"/>
      <c r="H43" s="389" t="s">
        <v>69</v>
      </c>
    </row>
    <row r="44" spans="1:8" s="395" customFormat="1" ht="21.75" customHeight="1">
      <c r="A44" s="84"/>
      <c r="B44" s="375"/>
      <c r="C44" s="389"/>
      <c r="D44" s="389"/>
      <c r="E44" s="389"/>
      <c r="F44" s="390"/>
      <c r="G44" s="389"/>
      <c r="H44" s="389" t="s">
        <v>43</v>
      </c>
    </row>
    <row r="45" spans="1:8" s="395" customFormat="1" ht="18.75" customHeight="1">
      <c r="A45" s="85"/>
      <c r="B45" s="401" t="s">
        <v>72</v>
      </c>
      <c r="C45" s="399" t="s">
        <v>136</v>
      </c>
      <c r="D45" s="399" t="s">
        <v>159</v>
      </c>
      <c r="E45" s="399" t="s">
        <v>250</v>
      </c>
      <c r="F45" s="400" t="s">
        <v>337</v>
      </c>
      <c r="G45" s="399" t="s">
        <v>372</v>
      </c>
      <c r="H45" s="399" t="s">
        <v>408</v>
      </c>
    </row>
    <row r="46" spans="1:8" s="395" customFormat="1" ht="24.75" customHeight="1">
      <c r="A46" s="86"/>
      <c r="B46" s="398" t="s">
        <v>2</v>
      </c>
      <c r="C46" s="396" t="s">
        <v>73</v>
      </c>
      <c r="D46" s="396" t="s">
        <v>73</v>
      </c>
      <c r="E46" s="396" t="s">
        <v>3</v>
      </c>
      <c r="F46" s="397" t="s">
        <v>74</v>
      </c>
      <c r="G46" s="396" t="s">
        <v>75</v>
      </c>
      <c r="H46" s="396" t="s">
        <v>75</v>
      </c>
    </row>
    <row r="47" spans="1:8" s="395" customFormat="1" ht="34.5" customHeight="1">
      <c r="A47" s="99" t="s">
        <v>85</v>
      </c>
      <c r="B47" s="375" t="s">
        <v>211</v>
      </c>
      <c r="C47" s="390">
        <v>388082.5</v>
      </c>
      <c r="D47" s="390">
        <v>2304879</v>
      </c>
      <c r="E47" s="390">
        <v>2413778</v>
      </c>
      <c r="F47" s="390">
        <v>2513874</v>
      </c>
      <c r="G47" s="390">
        <v>2630780</v>
      </c>
      <c r="H47" s="390">
        <v>2750824</v>
      </c>
    </row>
    <row r="48" spans="1:8" s="395" customFormat="1">
      <c r="A48" s="88" t="s">
        <v>189</v>
      </c>
      <c r="B48" s="375" t="s">
        <v>211</v>
      </c>
      <c r="C48" s="389">
        <v>388082.5</v>
      </c>
      <c r="D48" s="389">
        <v>1605712.1</v>
      </c>
      <c r="E48" s="389">
        <v>1681870</v>
      </c>
      <c r="F48" s="390">
        <v>1751607</v>
      </c>
      <c r="G48" s="389">
        <v>1833045</v>
      </c>
      <c r="H48" s="389">
        <v>1916673</v>
      </c>
    </row>
    <row r="49" spans="1:8" s="395" customFormat="1">
      <c r="A49" s="94" t="s">
        <v>336</v>
      </c>
      <c r="B49" s="375"/>
      <c r="C49" s="390"/>
      <c r="D49" s="389">
        <v>384540.2</v>
      </c>
      <c r="E49" s="389">
        <v>402344</v>
      </c>
      <c r="F49" s="390">
        <v>419030</v>
      </c>
      <c r="G49" s="389">
        <v>438537</v>
      </c>
      <c r="H49" s="389">
        <v>458566</v>
      </c>
    </row>
    <row r="50" spans="1:8" s="395" customFormat="1">
      <c r="A50" s="96" t="s">
        <v>335</v>
      </c>
      <c r="B50" s="375"/>
      <c r="C50" s="390"/>
      <c r="D50" s="389">
        <v>314626.7</v>
      </c>
      <c r="E50" s="389">
        <v>329564</v>
      </c>
      <c r="F50" s="390">
        <v>343237</v>
      </c>
      <c r="G50" s="389">
        <v>359198</v>
      </c>
      <c r="H50" s="389">
        <v>375585</v>
      </c>
    </row>
    <row r="51" spans="1:8" s="395" customFormat="1">
      <c r="A51" s="88"/>
      <c r="B51" s="375"/>
      <c r="C51" s="389"/>
      <c r="D51" s="389"/>
      <c r="E51" s="389"/>
      <c r="F51" s="390"/>
      <c r="G51" s="389"/>
      <c r="H51" s="389"/>
    </row>
    <row r="52" spans="1:8" s="380" customFormat="1" ht="27.6">
      <c r="A52" s="107" t="s">
        <v>86</v>
      </c>
      <c r="B52" s="375" t="s">
        <v>211</v>
      </c>
      <c r="C52" s="390">
        <v>88652.999999999971</v>
      </c>
      <c r="D52" s="390">
        <v>85100.7</v>
      </c>
      <c r="E52" s="390">
        <v>86693</v>
      </c>
      <c r="F52" s="390">
        <v>90170</v>
      </c>
      <c r="G52" s="390">
        <v>92617</v>
      </c>
      <c r="H52" s="390">
        <v>95607</v>
      </c>
    </row>
    <row r="53" spans="1:8" s="376" customFormat="1" ht="24.75" customHeight="1">
      <c r="A53" s="96" t="s">
        <v>190</v>
      </c>
      <c r="B53" s="375" t="s">
        <v>211</v>
      </c>
      <c r="C53" s="389">
        <v>79764.999999999985</v>
      </c>
      <c r="D53" s="389">
        <v>74030.100000000006</v>
      </c>
      <c r="E53" s="389">
        <v>68713</v>
      </c>
      <c r="F53" s="390">
        <v>71497</v>
      </c>
      <c r="G53" s="389">
        <v>73393</v>
      </c>
      <c r="H53" s="389">
        <v>75710</v>
      </c>
    </row>
    <row r="54" spans="1:8" s="376" customFormat="1" ht="15" customHeight="1">
      <c r="A54" s="94" t="s">
        <v>191</v>
      </c>
      <c r="B54" s="375" t="s">
        <v>211</v>
      </c>
      <c r="C54" s="389">
        <v>3372.4</v>
      </c>
      <c r="D54" s="389">
        <v>4523</v>
      </c>
      <c r="E54" s="389">
        <v>9731</v>
      </c>
      <c r="F54" s="390">
        <v>10104</v>
      </c>
      <c r="G54" s="389">
        <v>10407</v>
      </c>
      <c r="H54" s="389">
        <v>10777</v>
      </c>
    </row>
    <row r="55" spans="1:8" s="375" customFormat="1" ht="15.75" customHeight="1">
      <c r="A55" s="96" t="s">
        <v>192</v>
      </c>
      <c r="B55" s="375" t="s">
        <v>211</v>
      </c>
      <c r="C55" s="389">
        <v>5299.4</v>
      </c>
      <c r="D55" s="389">
        <v>6183.2</v>
      </c>
      <c r="E55" s="389">
        <v>7676</v>
      </c>
      <c r="F55" s="390">
        <v>7963</v>
      </c>
      <c r="G55" s="389">
        <v>8211</v>
      </c>
      <c r="H55" s="389">
        <v>8514</v>
      </c>
    </row>
    <row r="56" spans="1:8" s="375" customFormat="1" ht="15.75" customHeight="1">
      <c r="A56" s="96" t="s">
        <v>193</v>
      </c>
      <c r="B56" s="375" t="s">
        <v>211</v>
      </c>
      <c r="C56" s="389">
        <v>216.2</v>
      </c>
      <c r="D56" s="389">
        <v>364.4</v>
      </c>
      <c r="E56" s="389">
        <v>573</v>
      </c>
      <c r="F56" s="390">
        <v>606</v>
      </c>
      <c r="G56" s="389">
        <v>606</v>
      </c>
      <c r="H56" s="389">
        <v>606</v>
      </c>
    </row>
    <row r="57" spans="1:8" s="375" customFormat="1" ht="9" customHeight="1">
      <c r="A57" s="96"/>
      <c r="C57" s="389"/>
      <c r="D57" s="389"/>
      <c r="E57" s="389"/>
      <c r="F57" s="390"/>
      <c r="G57" s="389"/>
      <c r="H57" s="389"/>
    </row>
    <row r="58" spans="1:8" s="375" customFormat="1" ht="32.25" customHeight="1">
      <c r="A58" s="99" t="s">
        <v>175</v>
      </c>
      <c r="B58" s="375" t="s">
        <v>211</v>
      </c>
      <c r="C58" s="394">
        <v>0.2</v>
      </c>
      <c r="D58" s="389">
        <v>-3.1</v>
      </c>
      <c r="E58" s="389">
        <v>1</v>
      </c>
      <c r="F58" s="390">
        <v>1</v>
      </c>
      <c r="G58" s="390">
        <v>1</v>
      </c>
      <c r="H58" s="390">
        <v>1</v>
      </c>
    </row>
    <row r="59" spans="1:8" s="375" customFormat="1" ht="22.5" customHeight="1">
      <c r="A59" s="87" t="s">
        <v>87</v>
      </c>
      <c r="B59" s="375" t="s">
        <v>211</v>
      </c>
      <c r="C59" s="390">
        <v>1183.3999999999999</v>
      </c>
      <c r="D59" s="390">
        <v>1135.5999999999999</v>
      </c>
      <c r="E59" s="390">
        <v>1135</v>
      </c>
      <c r="F59" s="390">
        <v>1135</v>
      </c>
      <c r="G59" s="390">
        <v>1135</v>
      </c>
      <c r="H59" s="390">
        <v>1135</v>
      </c>
    </row>
    <row r="60" spans="1:8" s="391" customFormat="1" ht="14.25" customHeight="1">
      <c r="A60" s="93" t="s">
        <v>194</v>
      </c>
      <c r="B60" s="375" t="s">
        <v>211</v>
      </c>
      <c r="C60" s="392">
        <v>1183.3999999999999</v>
      </c>
      <c r="D60" s="392">
        <v>1135.5999999999999</v>
      </c>
      <c r="E60" s="392">
        <v>1135</v>
      </c>
      <c r="F60" s="393">
        <v>1135</v>
      </c>
      <c r="G60" s="392">
        <v>1135</v>
      </c>
      <c r="H60" s="392">
        <v>1135</v>
      </c>
    </row>
    <row r="61" spans="1:8" s="391" customFormat="1" ht="15.75" customHeight="1">
      <c r="A61" s="93" t="s">
        <v>195</v>
      </c>
      <c r="B61" s="375" t="s">
        <v>211</v>
      </c>
      <c r="C61" s="392">
        <v>1037.5999999999999</v>
      </c>
      <c r="D61" s="392">
        <v>1004.3</v>
      </c>
      <c r="E61" s="392">
        <v>1004</v>
      </c>
      <c r="F61" s="393">
        <v>1004</v>
      </c>
      <c r="G61" s="392">
        <v>1004</v>
      </c>
      <c r="H61" s="392">
        <v>1004</v>
      </c>
    </row>
    <row r="62" spans="1:8" s="391" customFormat="1" ht="14.25" customHeight="1">
      <c r="A62" s="93" t="s">
        <v>196</v>
      </c>
      <c r="B62" s="375" t="s">
        <v>211</v>
      </c>
      <c r="C62" s="392">
        <v>145.80000000000001</v>
      </c>
      <c r="D62" s="392">
        <v>131.30000000000001</v>
      </c>
      <c r="E62" s="392">
        <v>131</v>
      </c>
      <c r="F62" s="393">
        <v>131</v>
      </c>
      <c r="G62" s="392">
        <v>131</v>
      </c>
      <c r="H62" s="392">
        <v>131</v>
      </c>
    </row>
    <row r="63" spans="1:8" s="380" customFormat="1" ht="33" customHeight="1">
      <c r="A63" s="99" t="s">
        <v>161</v>
      </c>
      <c r="B63" s="375" t="s">
        <v>211</v>
      </c>
      <c r="C63" s="390">
        <v>134825.4</v>
      </c>
      <c r="D63" s="390">
        <v>1761594.3</v>
      </c>
      <c r="E63" s="390">
        <v>2072104</v>
      </c>
      <c r="F63" s="390">
        <v>2066555</v>
      </c>
      <c r="G63" s="390">
        <v>2193972</v>
      </c>
      <c r="H63" s="390">
        <v>2310139</v>
      </c>
    </row>
    <row r="64" spans="1:8" s="375" customFormat="1" ht="51.75" customHeight="1">
      <c r="A64" s="98" t="s">
        <v>202</v>
      </c>
      <c r="B64" s="375" t="s">
        <v>211</v>
      </c>
      <c r="C64" s="389">
        <v>134825.4</v>
      </c>
      <c r="D64" s="389">
        <v>1761594.3</v>
      </c>
      <c r="E64" s="389">
        <v>1932104</v>
      </c>
      <c r="F64" s="390">
        <v>2066555</v>
      </c>
      <c r="G64" s="389">
        <v>2193972</v>
      </c>
      <c r="H64" s="389">
        <v>2310139</v>
      </c>
    </row>
    <row r="65" spans="1:8" s="375" customFormat="1" ht="30.75" customHeight="1">
      <c r="A65" s="98" t="s">
        <v>197</v>
      </c>
      <c r="B65" s="375" t="s">
        <v>211</v>
      </c>
      <c r="C65" s="389">
        <v>0</v>
      </c>
      <c r="D65" s="389">
        <v>0</v>
      </c>
      <c r="E65" s="389">
        <v>140000</v>
      </c>
      <c r="F65" s="390">
        <v>0</v>
      </c>
      <c r="G65" s="389">
        <v>0</v>
      </c>
      <c r="H65" s="389">
        <v>0</v>
      </c>
    </row>
    <row r="66" spans="1:8" s="375" customFormat="1" ht="0.75" customHeight="1">
      <c r="A66" s="95"/>
      <c r="C66" s="389"/>
      <c r="D66" s="389"/>
      <c r="E66" s="389"/>
      <c r="F66" s="390"/>
      <c r="G66" s="389"/>
      <c r="H66" s="389"/>
    </row>
    <row r="67" spans="1:8" s="378" customFormat="1" ht="32.25" customHeight="1">
      <c r="A67" s="99" t="s">
        <v>162</v>
      </c>
      <c r="B67" s="375" t="s">
        <v>211</v>
      </c>
      <c r="C67" s="386">
        <v>12511.5</v>
      </c>
      <c r="D67" s="386">
        <v>11386.4</v>
      </c>
      <c r="E67" s="386">
        <v>11844</v>
      </c>
      <c r="F67" s="386">
        <v>12588</v>
      </c>
      <c r="G67" s="386">
        <v>12874</v>
      </c>
      <c r="H67" s="386">
        <v>13139</v>
      </c>
    </row>
    <row r="68" spans="1:8" s="378" customFormat="1" ht="33.75" customHeight="1">
      <c r="A68" s="100" t="s">
        <v>334</v>
      </c>
      <c r="B68" s="375" t="s">
        <v>211</v>
      </c>
      <c r="C68" s="388">
        <v>7830.4</v>
      </c>
      <c r="D68" s="388">
        <v>7197.9</v>
      </c>
      <c r="E68" s="388">
        <v>7644</v>
      </c>
      <c r="F68" s="386">
        <v>8388</v>
      </c>
      <c r="G68" s="388">
        <v>8674</v>
      </c>
      <c r="H68" s="388">
        <v>8939</v>
      </c>
    </row>
    <row r="69" spans="1:8" s="378" customFormat="1" ht="13.5" customHeight="1">
      <c r="A69" s="98" t="s">
        <v>201</v>
      </c>
      <c r="B69" s="375" t="s">
        <v>211</v>
      </c>
      <c r="C69" s="388">
        <v>4681.1000000000004</v>
      </c>
      <c r="D69" s="388">
        <v>4188.5</v>
      </c>
      <c r="E69" s="388">
        <v>4200</v>
      </c>
      <c r="F69" s="386">
        <v>4200</v>
      </c>
      <c r="G69" s="388">
        <v>4200</v>
      </c>
      <c r="H69" s="388">
        <v>4200</v>
      </c>
    </row>
    <row r="70" spans="1:8" s="385" customFormat="1" ht="30.75" customHeight="1">
      <c r="A70" s="99" t="s">
        <v>398</v>
      </c>
      <c r="B70" s="375" t="s">
        <v>211</v>
      </c>
      <c r="C70" s="386">
        <v>60.9</v>
      </c>
      <c r="D70" s="388">
        <v>189.3</v>
      </c>
      <c r="E70" s="388">
        <v>0</v>
      </c>
      <c r="F70" s="386">
        <v>0</v>
      </c>
      <c r="G70" s="386">
        <v>0</v>
      </c>
      <c r="H70" s="386">
        <v>0</v>
      </c>
    </row>
    <row r="71" spans="1:8" s="385" customFormat="1" ht="21" customHeight="1">
      <c r="A71" s="387" t="s">
        <v>399</v>
      </c>
      <c r="B71" s="375" t="s">
        <v>211</v>
      </c>
      <c r="C71" s="386"/>
      <c r="D71" s="386">
        <v>108050.7</v>
      </c>
      <c r="E71" s="386"/>
      <c r="F71" s="386"/>
      <c r="G71" s="386"/>
      <c r="H71" s="386"/>
    </row>
    <row r="72" spans="1:8" s="378" customFormat="1" ht="16.2" customHeight="1">
      <c r="A72" s="108" t="s">
        <v>88</v>
      </c>
      <c r="B72" s="384" t="s">
        <v>211</v>
      </c>
      <c r="C72" s="383">
        <v>4252559.6000000006</v>
      </c>
      <c r="D72" s="383">
        <v>4580325.0000000009</v>
      </c>
      <c r="E72" s="383">
        <v>4906107.1500000004</v>
      </c>
      <c r="F72" s="383">
        <v>5023386.1500000004</v>
      </c>
      <c r="G72" s="383">
        <v>5283672.1500000004</v>
      </c>
      <c r="H72" s="383">
        <v>5536175.1500000004</v>
      </c>
    </row>
    <row r="73" spans="1:8" s="380" customFormat="1" ht="14.25" customHeight="1">
      <c r="A73" s="382"/>
      <c r="B73" s="373"/>
      <c r="D73" s="381"/>
      <c r="E73" s="381"/>
    </row>
    <row r="74" spans="1:8" s="378" customFormat="1" ht="13.8">
      <c r="A74" s="377"/>
      <c r="B74" s="370"/>
      <c r="D74" s="379"/>
      <c r="E74" s="379"/>
    </row>
    <row r="75" spans="1:8" s="376" customFormat="1" ht="8.25" customHeight="1">
      <c r="A75" s="377"/>
      <c r="B75" s="370"/>
      <c r="D75" s="375"/>
      <c r="E75" s="375"/>
    </row>
    <row r="76" spans="1:8" s="375" customFormat="1" ht="21.6" customHeight="1">
      <c r="A76" s="370"/>
      <c r="B76" s="370"/>
      <c r="F76" s="376"/>
    </row>
    <row r="77" spans="1:8" s="373" customFormat="1" ht="13.8">
      <c r="A77" s="372"/>
      <c r="B77" s="370"/>
      <c r="F77" s="374"/>
    </row>
    <row r="79" spans="1:8">
      <c r="A79" s="372"/>
    </row>
    <row r="80" spans="1:8">
      <c r="A80" s="372"/>
    </row>
    <row r="81" spans="1:1" ht="14.4" customHeight="1">
      <c r="A81" s="372"/>
    </row>
  </sheetData>
  <mergeCells count="3">
    <mergeCell ref="A3:G3"/>
    <mergeCell ref="A4:H4"/>
    <mergeCell ref="A5:G5"/>
  </mergeCells>
  <pageMargins left="0.62992125984251968" right="0.23622047244094491" top="0.23622047244094491" bottom="0.19685039370078741"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4"/>
  <sheetViews>
    <sheetView zoomScale="84" zoomScaleNormal="84" workbookViewId="0">
      <pane xSplit="1" ySplit="6" topLeftCell="B167" activePane="bottomRight" state="frozen"/>
      <selection pane="topRight" activeCell="B1" sqref="B1"/>
      <selection pane="bottomLeft" activeCell="A7" sqref="A7"/>
      <selection pane="bottomRight" activeCell="H187" sqref="H187"/>
    </sheetView>
  </sheetViews>
  <sheetFormatPr defaultColWidth="9.109375" defaultRowHeight="13.2"/>
  <cols>
    <col min="1" max="1" width="46.109375" style="3" customWidth="1"/>
    <col min="2" max="2" width="10.33203125" style="3" customWidth="1"/>
    <col min="3" max="4" width="10.5546875" style="2" customWidth="1"/>
    <col min="5" max="5" width="10.88671875" style="2" customWidth="1"/>
    <col min="6" max="6" width="11.88671875" style="2" customWidth="1"/>
    <col min="7" max="7" width="11.33203125" style="3" customWidth="1"/>
    <col min="8" max="8" width="10.6640625" style="3" customWidth="1"/>
    <col min="9" max="9" width="4.88671875" style="3" customWidth="1"/>
    <col min="10" max="10" width="13" style="3" hidden="1" customWidth="1"/>
    <col min="11" max="11" width="12.5546875" style="3" hidden="1" customWidth="1"/>
    <col min="12" max="12" width="10.33203125" style="3" hidden="1" customWidth="1"/>
    <col min="13" max="13" width="11.6640625" style="3" hidden="1" customWidth="1"/>
    <col min="14" max="15" width="9.109375" style="3" hidden="1" customWidth="1"/>
    <col min="16" max="16384" width="9.109375" style="3"/>
  </cols>
  <sheetData>
    <row r="1" spans="1:13" s="266" customFormat="1" ht="13.5" customHeight="1">
      <c r="A1" s="3"/>
      <c r="B1" s="3"/>
      <c r="C1" s="272"/>
      <c r="D1" s="272"/>
      <c r="E1" s="272"/>
      <c r="F1" s="2"/>
      <c r="G1" s="35"/>
      <c r="H1" s="35" t="s">
        <v>19</v>
      </c>
    </row>
    <row r="2" spans="1:13" s="266" customFormat="1" ht="16.5" customHeight="1">
      <c r="A2" s="421" t="s">
        <v>405</v>
      </c>
      <c r="B2" s="421"/>
      <c r="C2" s="421"/>
      <c r="D2" s="421"/>
      <c r="E2" s="421"/>
      <c r="F2" s="421"/>
      <c r="G2" s="421"/>
      <c r="H2" s="35" t="s">
        <v>20</v>
      </c>
    </row>
    <row r="3" spans="1:13" s="266" customFormat="1" ht="15.75" customHeight="1">
      <c r="A3" s="421" t="s">
        <v>21</v>
      </c>
      <c r="B3" s="421"/>
      <c r="C3" s="421"/>
      <c r="D3" s="421"/>
      <c r="E3" s="421"/>
      <c r="F3" s="421"/>
      <c r="G3" s="421"/>
      <c r="H3" s="273"/>
    </row>
    <row r="4" spans="1:13" ht="15.75" customHeight="1">
      <c r="C4" s="114"/>
      <c r="D4" s="114"/>
      <c r="E4" s="114"/>
      <c r="F4" s="114"/>
      <c r="G4" s="115"/>
      <c r="H4" s="115"/>
    </row>
    <row r="5" spans="1:13" ht="12" customHeight="1">
      <c r="A5" s="274"/>
      <c r="B5" s="418" t="s">
        <v>1</v>
      </c>
      <c r="C5" s="416" t="s">
        <v>345</v>
      </c>
      <c r="D5" s="416" t="s">
        <v>401</v>
      </c>
      <c r="E5" s="416" t="s">
        <v>402</v>
      </c>
      <c r="F5" s="414" t="s">
        <v>403</v>
      </c>
      <c r="G5" s="416" t="s">
        <v>346</v>
      </c>
      <c r="H5" s="416" t="s">
        <v>404</v>
      </c>
    </row>
    <row r="6" spans="1:13" ht="17.25" customHeight="1">
      <c r="A6" s="275"/>
      <c r="B6" s="419" t="s">
        <v>2</v>
      </c>
      <c r="C6" s="420"/>
      <c r="D6" s="420"/>
      <c r="E6" s="420"/>
      <c r="F6" s="415"/>
      <c r="G6" s="417"/>
      <c r="H6" s="417"/>
    </row>
    <row r="7" spans="1:13" ht="14.25" customHeight="1">
      <c r="A7" s="117" t="s">
        <v>301</v>
      </c>
      <c r="B7" s="116"/>
      <c r="C7" s="118"/>
      <c r="D7" s="118"/>
      <c r="E7" s="118"/>
      <c r="F7" s="118"/>
      <c r="G7" s="118"/>
      <c r="H7" s="118"/>
    </row>
    <row r="8" spans="1:13" ht="9" customHeight="1">
      <c r="A8" s="117"/>
      <c r="B8" s="116"/>
      <c r="C8" s="118"/>
      <c r="D8" s="118"/>
      <c r="E8" s="118"/>
      <c r="F8" s="118"/>
      <c r="G8" s="118"/>
      <c r="H8" s="118"/>
    </row>
    <row r="9" spans="1:13">
      <c r="A9" s="257" t="s">
        <v>387</v>
      </c>
      <c r="B9" s="36" t="s">
        <v>5</v>
      </c>
      <c r="C9" s="276">
        <v>152.91999999999999</v>
      </c>
      <c r="D9" s="276">
        <v>164.59</v>
      </c>
      <c r="E9" s="276">
        <v>180.95</v>
      </c>
      <c r="F9" s="277">
        <v>193.92</v>
      </c>
      <c r="G9" s="276">
        <v>206.53</v>
      </c>
      <c r="H9" s="276">
        <v>218.03</v>
      </c>
    </row>
    <row r="10" spans="1:13">
      <c r="A10" s="257" t="s">
        <v>388</v>
      </c>
      <c r="B10" s="36" t="s">
        <v>5</v>
      </c>
      <c r="C10" s="278" t="s">
        <v>213</v>
      </c>
      <c r="D10" s="278" t="s">
        <v>213</v>
      </c>
      <c r="E10" s="278" t="s">
        <v>213</v>
      </c>
      <c r="F10" s="278" t="s">
        <v>213</v>
      </c>
      <c r="G10" s="278" t="s">
        <v>213</v>
      </c>
      <c r="H10" s="278" t="s">
        <v>213</v>
      </c>
    </row>
    <row r="11" spans="1:13" ht="13.65" customHeight="1">
      <c r="A11" s="257" t="s">
        <v>389</v>
      </c>
      <c r="B11" s="36" t="s">
        <v>5</v>
      </c>
      <c r="C11" s="278" t="s">
        <v>213</v>
      </c>
      <c r="D11" s="278" t="s">
        <v>213</v>
      </c>
      <c r="E11" s="278" t="s">
        <v>213</v>
      </c>
      <c r="F11" s="278" t="s">
        <v>213</v>
      </c>
      <c r="G11" s="278" t="s">
        <v>213</v>
      </c>
      <c r="H11" s="278" t="s">
        <v>213</v>
      </c>
    </row>
    <row r="12" spans="1:13" ht="13.65" customHeight="1">
      <c r="A12" s="257" t="s">
        <v>390</v>
      </c>
      <c r="B12" s="36"/>
      <c r="C12" s="279">
        <v>1.0693999999999999</v>
      </c>
      <c r="D12" s="279">
        <v>1.0763</v>
      </c>
      <c r="E12" s="280">
        <v>1.0810999999999999</v>
      </c>
      <c r="F12" s="281">
        <v>1.0717000000000001</v>
      </c>
      <c r="G12" s="280">
        <v>1.0649999999999999</v>
      </c>
      <c r="H12" s="280">
        <v>1.0557000000000001</v>
      </c>
    </row>
    <row r="13" spans="1:13" ht="13.65" customHeight="1">
      <c r="A13" s="257" t="s">
        <v>400</v>
      </c>
      <c r="B13" s="36"/>
      <c r="C13" s="279">
        <v>1.0693999999999999</v>
      </c>
      <c r="D13" s="279">
        <v>1.0763</v>
      </c>
      <c r="E13" s="280">
        <v>1.0993999999999999</v>
      </c>
      <c r="F13" s="281">
        <v>1.0717000000000001</v>
      </c>
      <c r="G13" s="280">
        <v>1.0649999999999999</v>
      </c>
      <c r="H13" s="280">
        <v>1.0557000000000001</v>
      </c>
    </row>
    <row r="14" spans="1:13" ht="12.75" customHeight="1">
      <c r="A14" s="257" t="s">
        <v>391</v>
      </c>
      <c r="B14" s="36"/>
      <c r="C14" s="282">
        <v>1043807</v>
      </c>
      <c r="D14" s="282">
        <v>1036394</v>
      </c>
      <c r="E14" s="282">
        <v>1030930</v>
      </c>
      <c r="F14" s="283">
        <v>1026530</v>
      </c>
      <c r="G14" s="282">
        <v>1020950</v>
      </c>
      <c r="H14" s="282">
        <v>1016450</v>
      </c>
      <c r="J14" s="38"/>
      <c r="K14" s="38"/>
      <c r="L14" s="38"/>
      <c r="M14" s="38"/>
    </row>
    <row r="15" spans="1:13" ht="13.5" customHeight="1">
      <c r="A15" s="257" t="s">
        <v>392</v>
      </c>
      <c r="B15" s="121" t="s">
        <v>22</v>
      </c>
      <c r="C15" s="37">
        <v>41.8</v>
      </c>
      <c r="D15" s="37">
        <v>32.299999999999997</v>
      </c>
      <c r="E15" s="37">
        <v>33.299999999999997</v>
      </c>
      <c r="F15" s="284">
        <v>34.9</v>
      </c>
      <c r="G15" s="37">
        <v>35.9</v>
      </c>
      <c r="H15" s="37">
        <v>36.4</v>
      </c>
    </row>
    <row r="16" spans="1:13" ht="14.25" customHeight="1">
      <c r="A16" s="258" t="s">
        <v>393</v>
      </c>
      <c r="B16" s="256"/>
      <c r="C16" s="122"/>
      <c r="D16" s="122"/>
      <c r="E16" s="194"/>
      <c r="F16" s="122"/>
      <c r="G16" s="122"/>
      <c r="H16" s="122"/>
    </row>
    <row r="17" spans="1:18" ht="13.5" customHeight="1">
      <c r="A17" s="258" t="s">
        <v>394</v>
      </c>
      <c r="B17" s="256"/>
      <c r="C17" s="38"/>
      <c r="D17" s="38"/>
      <c r="E17" s="38"/>
      <c r="F17" s="38"/>
      <c r="G17" s="38"/>
      <c r="H17" s="38"/>
    </row>
    <row r="18" spans="1:18" ht="12" customHeight="1">
      <c r="A18" s="123"/>
      <c r="C18" s="124"/>
      <c r="D18" s="124"/>
      <c r="E18" s="124"/>
      <c r="F18" s="124"/>
      <c r="G18" s="124"/>
      <c r="H18" s="124"/>
    </row>
    <row r="19" spans="1:18" ht="15.6">
      <c r="A19" s="123" t="s">
        <v>219</v>
      </c>
      <c r="B19" s="2" t="s">
        <v>211</v>
      </c>
      <c r="C19" s="285">
        <v>2962333</v>
      </c>
      <c r="D19" s="285">
        <v>3199767</v>
      </c>
      <c r="E19" s="285">
        <v>3485665</v>
      </c>
      <c r="F19" s="285">
        <v>3728224</v>
      </c>
      <c r="G19" s="285">
        <v>3958095</v>
      </c>
      <c r="H19" s="285">
        <v>4167670</v>
      </c>
      <c r="J19" s="38"/>
      <c r="K19" s="38"/>
      <c r="L19" s="38"/>
      <c r="M19" s="38"/>
      <c r="N19" s="38"/>
    </row>
    <row r="20" spans="1:18">
      <c r="B20" s="36"/>
      <c r="C20" s="125"/>
      <c r="D20" s="125"/>
      <c r="E20" s="125"/>
      <c r="F20" s="125"/>
      <c r="G20" s="125"/>
      <c r="H20" s="125"/>
    </row>
    <row r="21" spans="1:18" s="2" customFormat="1">
      <c r="A21" s="2" t="s">
        <v>302</v>
      </c>
      <c r="B21" s="40" t="s">
        <v>212</v>
      </c>
      <c r="C21" s="41">
        <v>2268680</v>
      </c>
      <c r="D21" s="41">
        <v>2530350</v>
      </c>
      <c r="E21" s="41">
        <v>2783148</v>
      </c>
      <c r="F21" s="41">
        <v>2984245</v>
      </c>
      <c r="G21" s="41">
        <v>3179309</v>
      </c>
      <c r="H21" s="41">
        <v>3357132</v>
      </c>
      <c r="I21" s="3"/>
      <c r="J21" s="41">
        <f>J22+F28</f>
        <v>2984245</v>
      </c>
      <c r="K21" s="41">
        <f t="shared" ref="K21:L21" si="0">K22+G28</f>
        <v>3179309</v>
      </c>
      <c r="L21" s="41">
        <f t="shared" si="0"/>
        <v>3357132</v>
      </c>
      <c r="M21" s="41">
        <f t="shared" ref="M21" si="1">M22+I28</f>
        <v>0</v>
      </c>
      <c r="N21" s="41">
        <f>N22+J28</f>
        <v>0</v>
      </c>
      <c r="O21" s="41">
        <f t="shared" ref="O21" si="2">O22+K28</f>
        <v>0</v>
      </c>
      <c r="P21" s="3"/>
      <c r="Q21" s="3"/>
      <c r="R21" s="3"/>
    </row>
    <row r="22" spans="1:18" s="2" customFormat="1">
      <c r="A22" s="3" t="s">
        <v>217</v>
      </c>
      <c r="B22" s="36" t="s">
        <v>212</v>
      </c>
      <c r="C22" s="286">
        <v>2272727</v>
      </c>
      <c r="D22" s="286">
        <v>2530192</v>
      </c>
      <c r="E22" s="286">
        <v>2783134</v>
      </c>
      <c r="F22" s="39">
        <v>2984233</v>
      </c>
      <c r="G22" s="286">
        <v>3179297</v>
      </c>
      <c r="H22" s="286">
        <v>3357121</v>
      </c>
      <c r="I22" s="3"/>
      <c r="J22" s="38">
        <f>ROUND(F24*F25*12/1000,0)</f>
        <v>2984233</v>
      </c>
      <c r="K22" s="38">
        <f t="shared" ref="K22:L22" si="3">ROUND(G24*G25*12/1000,0)</f>
        <v>3179297</v>
      </c>
      <c r="L22" s="38">
        <f t="shared" si="3"/>
        <v>3357121</v>
      </c>
      <c r="M22" s="38">
        <f t="shared" ref="M22" si="4">ROUND(I24*I25*12/1000,0)</f>
        <v>0</v>
      </c>
      <c r="N22" s="38">
        <f t="shared" ref="N22" si="5">ROUND(J24*J25*12/1000,0)</f>
        <v>0</v>
      </c>
      <c r="O22" s="38">
        <f t="shared" ref="O22" si="6">ROUND(K24*K25*12/1000,0)</f>
        <v>0</v>
      </c>
      <c r="P22" s="3"/>
      <c r="Q22" s="3"/>
      <c r="R22" s="3"/>
    </row>
    <row r="23" spans="1:18">
      <c r="A23" s="120" t="s">
        <v>23</v>
      </c>
      <c r="B23" s="36" t="s">
        <v>24</v>
      </c>
      <c r="C23" s="286">
        <v>589343</v>
      </c>
      <c r="D23" s="286">
        <v>607080</v>
      </c>
      <c r="E23" s="286">
        <v>611500</v>
      </c>
      <c r="F23" s="39">
        <v>610300</v>
      </c>
      <c r="G23" s="286">
        <v>609100</v>
      </c>
      <c r="H23" s="286">
        <v>607900</v>
      </c>
    </row>
    <row r="24" spans="1:18">
      <c r="A24" s="120" t="s">
        <v>25</v>
      </c>
      <c r="B24" s="36" t="s">
        <v>2</v>
      </c>
      <c r="C24" s="286">
        <v>593061</v>
      </c>
      <c r="D24" s="286">
        <v>612187</v>
      </c>
      <c r="E24" s="286">
        <v>615536</v>
      </c>
      <c r="F24" s="39">
        <v>614328</v>
      </c>
      <c r="G24" s="286">
        <v>613120</v>
      </c>
      <c r="H24" s="286">
        <v>611912</v>
      </c>
    </row>
    <row r="25" spans="1:18">
      <c r="A25" s="120" t="s">
        <v>204</v>
      </c>
      <c r="B25" s="36" t="s">
        <v>5</v>
      </c>
      <c r="C25" s="126">
        <v>319.35000000000002</v>
      </c>
      <c r="D25" s="126">
        <v>344.42</v>
      </c>
      <c r="E25" s="126">
        <v>376.79</v>
      </c>
      <c r="F25" s="127">
        <v>404.81</v>
      </c>
      <c r="G25" s="126">
        <v>432.12</v>
      </c>
      <c r="H25" s="126">
        <v>457.19</v>
      </c>
    </row>
    <row r="26" spans="1:18">
      <c r="A26" s="120" t="s">
        <v>205</v>
      </c>
      <c r="B26" s="36" t="s">
        <v>5</v>
      </c>
      <c r="C26" s="126">
        <v>337.5</v>
      </c>
      <c r="D26" s="126">
        <v>364.32</v>
      </c>
      <c r="E26" s="126">
        <v>398.9</v>
      </c>
      <c r="F26" s="127">
        <v>428.9</v>
      </c>
      <c r="G26" s="126">
        <v>458.18</v>
      </c>
      <c r="H26" s="126">
        <v>485.1</v>
      </c>
    </row>
    <row r="27" spans="1:18">
      <c r="A27" s="2" t="s">
        <v>303</v>
      </c>
      <c r="B27" s="36" t="s">
        <v>212</v>
      </c>
      <c r="C27" s="286">
        <v>5743</v>
      </c>
      <c r="D27" s="286">
        <v>154</v>
      </c>
      <c r="E27" s="286">
        <v>168</v>
      </c>
      <c r="F27" s="39">
        <v>180</v>
      </c>
      <c r="G27" s="286">
        <v>192</v>
      </c>
      <c r="H27" s="286">
        <v>203</v>
      </c>
    </row>
    <row r="28" spans="1:18">
      <c r="A28" s="2" t="s">
        <v>304</v>
      </c>
      <c r="B28" s="36" t="s">
        <v>212</v>
      </c>
      <c r="C28" s="286">
        <v>-4047</v>
      </c>
      <c r="D28" s="286">
        <v>158</v>
      </c>
      <c r="E28" s="286">
        <v>14</v>
      </c>
      <c r="F28" s="39">
        <v>12</v>
      </c>
      <c r="G28" s="286">
        <v>12</v>
      </c>
      <c r="H28" s="286">
        <v>11</v>
      </c>
    </row>
    <row r="29" spans="1:18" ht="10.5" customHeight="1">
      <c r="A29" s="128"/>
      <c r="B29" s="129"/>
      <c r="C29" s="195"/>
      <c r="D29" s="195"/>
      <c r="E29" s="125"/>
      <c r="F29" s="125"/>
      <c r="G29" s="125"/>
      <c r="H29" s="125"/>
    </row>
    <row r="30" spans="1:18" s="2" customFormat="1" ht="17.25" customHeight="1">
      <c r="A30" s="130" t="s">
        <v>220</v>
      </c>
      <c r="B30" s="40" t="s">
        <v>212</v>
      </c>
      <c r="C30" s="287">
        <v>537844</v>
      </c>
      <c r="D30" s="287">
        <v>506229</v>
      </c>
      <c r="E30" s="287">
        <v>525881</v>
      </c>
      <c r="F30" s="287">
        <v>557069</v>
      </c>
      <c r="G30" s="287">
        <v>582927</v>
      </c>
      <c r="H30" s="287">
        <v>605337</v>
      </c>
      <c r="I30" s="3"/>
      <c r="J30" s="37"/>
      <c r="K30" s="37"/>
      <c r="L30" s="37"/>
      <c r="M30" s="37"/>
      <c r="N30" s="3"/>
      <c r="O30" s="3"/>
      <c r="P30" s="3"/>
      <c r="Q30" s="3"/>
      <c r="R30" s="3"/>
    </row>
    <row r="31" spans="1:18" s="2" customFormat="1" ht="9.75" customHeight="1">
      <c r="A31" s="130" t="s">
        <v>305</v>
      </c>
      <c r="B31" s="40"/>
      <c r="C31" s="287"/>
      <c r="D31" s="287"/>
      <c r="E31" s="287"/>
      <c r="F31" s="287"/>
      <c r="G31" s="287"/>
      <c r="H31" s="287"/>
      <c r="I31" s="3"/>
    </row>
    <row r="32" spans="1:18" ht="14.25" customHeight="1">
      <c r="A32" s="120" t="s">
        <v>306</v>
      </c>
      <c r="B32" s="36" t="s">
        <v>24</v>
      </c>
      <c r="C32" s="286">
        <v>195152</v>
      </c>
      <c r="D32" s="286">
        <v>174217</v>
      </c>
      <c r="E32" s="286">
        <v>167000</v>
      </c>
      <c r="F32" s="39">
        <v>165500</v>
      </c>
      <c r="G32" s="286">
        <v>163000</v>
      </c>
      <c r="H32" s="286">
        <v>160700</v>
      </c>
    </row>
    <row r="33" spans="1:18" ht="12.75" hidden="1" customHeight="1">
      <c r="A33" s="120" t="s">
        <v>25</v>
      </c>
      <c r="B33" s="36" t="s">
        <v>2</v>
      </c>
      <c r="C33" s="286"/>
      <c r="D33" s="286"/>
      <c r="E33" s="286"/>
      <c r="F33" s="39"/>
      <c r="G33" s="286"/>
      <c r="H33" s="286"/>
    </row>
    <row r="34" spans="1:18" ht="12.75" hidden="1" customHeight="1">
      <c r="A34" s="120" t="s">
        <v>26</v>
      </c>
      <c r="B34" s="36" t="s">
        <v>5</v>
      </c>
      <c r="C34" s="131"/>
      <c r="D34" s="131"/>
      <c r="E34" s="131"/>
      <c r="F34" s="132"/>
      <c r="G34" s="131"/>
      <c r="H34" s="131"/>
    </row>
    <row r="35" spans="1:18" ht="6.75" customHeight="1">
      <c r="A35" s="133"/>
      <c r="B35" s="134"/>
      <c r="C35" s="288"/>
      <c r="D35" s="288"/>
      <c r="E35" s="288"/>
      <c r="F35" s="288"/>
      <c r="G35" s="288"/>
      <c r="H35" s="288"/>
    </row>
    <row r="36" spans="1:18" s="2" customFormat="1">
      <c r="A36" s="130" t="s">
        <v>221</v>
      </c>
      <c r="B36" s="40" t="s">
        <v>212</v>
      </c>
      <c r="C36" s="39">
        <v>159774</v>
      </c>
      <c r="D36" s="39">
        <v>129460</v>
      </c>
      <c r="E36" s="39">
        <v>123106</v>
      </c>
      <c r="F36" s="39">
        <v>122230</v>
      </c>
      <c r="G36" s="39">
        <v>119844</v>
      </c>
      <c r="H36" s="39">
        <v>116487</v>
      </c>
      <c r="I36" s="3"/>
      <c r="J36" s="38">
        <f>ROUND(F38*F39*12/1000,0)</f>
        <v>122230</v>
      </c>
      <c r="K36" s="38">
        <f t="shared" ref="K36:L36" si="7">ROUND(G38*G39*12/1000,0)</f>
        <v>119844</v>
      </c>
      <c r="L36" s="38">
        <f t="shared" si="7"/>
        <v>116487</v>
      </c>
      <c r="M36" s="2">
        <f>J36-F36</f>
        <v>0</v>
      </c>
      <c r="N36" s="2">
        <f t="shared" ref="N36" si="8">K36-G36</f>
        <v>0</v>
      </c>
      <c r="O36" s="2">
        <f t="shared" ref="O36" si="9">L36-H36</f>
        <v>0</v>
      </c>
      <c r="P36" s="3"/>
      <c r="Q36" s="3"/>
      <c r="R36" s="3"/>
    </row>
    <row r="37" spans="1:18">
      <c r="A37" s="120" t="s">
        <v>27</v>
      </c>
      <c r="B37" s="36" t="s">
        <v>24</v>
      </c>
      <c r="C37" s="286">
        <v>50054</v>
      </c>
      <c r="D37" s="286">
        <v>38754</v>
      </c>
      <c r="E37" s="286">
        <v>34000</v>
      </c>
      <c r="F37" s="39">
        <v>31500</v>
      </c>
      <c r="G37" s="286">
        <v>29000</v>
      </c>
      <c r="H37" s="286">
        <v>26700</v>
      </c>
      <c r="J37" s="38"/>
      <c r="K37" s="38"/>
      <c r="L37" s="38"/>
      <c r="M37" s="38"/>
      <c r="N37" s="38"/>
    </row>
    <row r="38" spans="1:18">
      <c r="A38" s="120" t="s">
        <v>28</v>
      </c>
      <c r="B38" s="36" t="s">
        <v>2</v>
      </c>
      <c r="C38" s="286">
        <v>50166</v>
      </c>
      <c r="D38" s="286">
        <v>38861</v>
      </c>
      <c r="E38" s="286">
        <v>34095</v>
      </c>
      <c r="F38" s="39">
        <v>31588</v>
      </c>
      <c r="G38" s="286">
        <v>29081</v>
      </c>
      <c r="H38" s="286">
        <v>26775</v>
      </c>
    </row>
    <row r="39" spans="1:18" ht="12.75" customHeight="1">
      <c r="A39" s="120" t="s">
        <v>29</v>
      </c>
      <c r="B39" s="36" t="s">
        <v>5</v>
      </c>
      <c r="C39" s="126">
        <v>265.41000000000003</v>
      </c>
      <c r="D39" s="126">
        <v>277.61</v>
      </c>
      <c r="E39" s="126">
        <v>300.89</v>
      </c>
      <c r="F39" s="127">
        <v>322.45999999999998</v>
      </c>
      <c r="G39" s="126">
        <v>343.42</v>
      </c>
      <c r="H39" s="126">
        <v>362.55</v>
      </c>
    </row>
    <row r="40" spans="1:18" ht="8.25" customHeight="1">
      <c r="A40" s="133"/>
      <c r="B40" s="134"/>
      <c r="C40" s="136"/>
      <c r="D40" s="136"/>
      <c r="E40" s="136"/>
      <c r="F40" s="136"/>
      <c r="G40" s="136"/>
      <c r="H40" s="136"/>
    </row>
    <row r="41" spans="1:18" s="2" customFormat="1" ht="12" customHeight="1">
      <c r="A41" s="130" t="s">
        <v>307</v>
      </c>
      <c r="B41" s="40" t="s">
        <v>212</v>
      </c>
      <c r="C41" s="39">
        <v>378070</v>
      </c>
      <c r="D41" s="39">
        <v>376769</v>
      </c>
      <c r="E41" s="39">
        <v>402775</v>
      </c>
      <c r="F41" s="39">
        <v>434839</v>
      </c>
      <c r="G41" s="39">
        <v>463083</v>
      </c>
      <c r="H41" s="39">
        <v>488850</v>
      </c>
      <c r="I41" s="3"/>
      <c r="J41" s="38">
        <f>J43+F48</f>
        <v>434839</v>
      </c>
      <c r="K41" s="38">
        <f>K43+G48</f>
        <v>463083</v>
      </c>
      <c r="L41" s="38">
        <f>L43+H48</f>
        <v>487196</v>
      </c>
      <c r="M41" s="2">
        <f>J41-F41</f>
        <v>0</v>
      </c>
      <c r="N41" s="2">
        <f t="shared" ref="N41" si="10">K41-G41</f>
        <v>0</v>
      </c>
      <c r="O41" s="2">
        <f t="shared" ref="O41" si="11">L41-H41</f>
        <v>-1654</v>
      </c>
      <c r="P41" s="3"/>
      <c r="Q41" s="3"/>
      <c r="R41" s="3"/>
    </row>
    <row r="42" spans="1:18" s="2" customFormat="1" ht="12" customHeight="1">
      <c r="A42" s="130" t="s">
        <v>308</v>
      </c>
      <c r="B42" s="40"/>
      <c r="C42" s="39"/>
      <c r="D42" s="39"/>
      <c r="E42" s="39"/>
      <c r="F42" s="39"/>
      <c r="G42" s="39"/>
      <c r="H42" s="39"/>
      <c r="I42" s="3"/>
      <c r="J42" s="38"/>
      <c r="K42" s="38"/>
      <c r="L42" s="38"/>
      <c r="M42" s="38"/>
      <c r="N42" s="38"/>
      <c r="O42" s="3"/>
      <c r="P42" s="3"/>
      <c r="Q42" s="3"/>
      <c r="R42" s="3"/>
    </row>
    <row r="43" spans="1:18" s="2" customFormat="1" ht="12" customHeight="1">
      <c r="A43" s="120" t="s">
        <v>309</v>
      </c>
      <c r="B43" s="36" t="s">
        <v>212</v>
      </c>
      <c r="C43" s="286">
        <v>380863</v>
      </c>
      <c r="D43" s="286">
        <v>377288</v>
      </c>
      <c r="E43" s="286">
        <v>402516</v>
      </c>
      <c r="F43" s="39">
        <v>434617</v>
      </c>
      <c r="G43" s="286">
        <v>462867</v>
      </c>
      <c r="H43" s="286">
        <v>488653</v>
      </c>
      <c r="I43" s="3"/>
      <c r="J43" s="38">
        <f>ROUND(F45*F46*12/1000,0)</f>
        <v>434617</v>
      </c>
      <c r="K43" s="38">
        <f>ROUND(G45*G46*12/1000,0)</f>
        <v>462867</v>
      </c>
      <c r="L43" s="38">
        <f>ROUND(H45*H46*12/1000,0)</f>
        <v>486999</v>
      </c>
      <c r="M43" s="2">
        <f>J43-F43</f>
        <v>0</v>
      </c>
      <c r="N43" s="2">
        <f t="shared" ref="N43" si="12">K43-G43</f>
        <v>0</v>
      </c>
      <c r="O43" s="2">
        <f t="shared" ref="O43" si="13">L43-H43</f>
        <v>-1654</v>
      </c>
      <c r="P43" s="3"/>
      <c r="Q43" s="3"/>
      <c r="R43" s="3"/>
    </row>
    <row r="44" spans="1:18">
      <c r="A44" s="120" t="s">
        <v>30</v>
      </c>
      <c r="B44" s="36" t="s">
        <v>24</v>
      </c>
      <c r="C44" s="286">
        <v>145098</v>
      </c>
      <c r="D44" s="286">
        <v>135463</v>
      </c>
      <c r="E44" s="286">
        <v>133000</v>
      </c>
      <c r="F44" s="39">
        <v>134000</v>
      </c>
      <c r="G44" s="286">
        <v>134000</v>
      </c>
      <c r="H44" s="286">
        <v>134000</v>
      </c>
      <c r="J44" s="38"/>
      <c r="K44" s="38"/>
      <c r="L44" s="38"/>
      <c r="M44" s="38"/>
    </row>
    <row r="45" spans="1:18">
      <c r="A45" s="120" t="s">
        <v>31</v>
      </c>
      <c r="B45" s="36" t="s">
        <v>2</v>
      </c>
      <c r="C45" s="286">
        <v>149351</v>
      </c>
      <c r="D45" s="286">
        <v>139340</v>
      </c>
      <c r="E45" s="286">
        <v>136804</v>
      </c>
      <c r="F45" s="39">
        <v>137832</v>
      </c>
      <c r="G45" s="286">
        <v>137832</v>
      </c>
      <c r="H45" s="286">
        <v>137832</v>
      </c>
      <c r="I45" s="39"/>
    </row>
    <row r="46" spans="1:18" ht="13.5" customHeight="1">
      <c r="A46" s="120" t="s">
        <v>310</v>
      </c>
      <c r="B46" s="36" t="s">
        <v>5</v>
      </c>
      <c r="C46" s="126">
        <v>212.51</v>
      </c>
      <c r="D46" s="126">
        <v>225.64</v>
      </c>
      <c r="E46" s="126">
        <v>245.19</v>
      </c>
      <c r="F46" s="127">
        <v>262.77</v>
      </c>
      <c r="G46" s="126">
        <v>279.85000000000002</v>
      </c>
      <c r="H46" s="126">
        <v>294.44</v>
      </c>
    </row>
    <row r="47" spans="1:18" ht="13.5" customHeight="1">
      <c r="A47" s="120" t="s">
        <v>311</v>
      </c>
      <c r="B47" s="36" t="s">
        <v>212</v>
      </c>
      <c r="C47" s="289">
        <v>3360</v>
      </c>
      <c r="D47" s="289">
        <v>2841</v>
      </c>
      <c r="E47" s="289">
        <v>3100</v>
      </c>
      <c r="F47" s="290">
        <v>3322</v>
      </c>
      <c r="G47" s="289">
        <v>3538</v>
      </c>
      <c r="H47" s="289">
        <v>3735</v>
      </c>
    </row>
    <row r="48" spans="1:18" ht="13.5" customHeight="1">
      <c r="A48" s="120" t="s">
        <v>312</v>
      </c>
      <c r="B48" s="36" t="s">
        <v>212</v>
      </c>
      <c r="C48" s="289">
        <v>-2793</v>
      </c>
      <c r="D48" s="289">
        <v>-519</v>
      </c>
      <c r="E48" s="289">
        <v>259</v>
      </c>
      <c r="F48" s="290">
        <v>222</v>
      </c>
      <c r="G48" s="289">
        <v>216</v>
      </c>
      <c r="H48" s="289">
        <v>197</v>
      </c>
    </row>
    <row r="49" spans="1:18">
      <c r="A49" s="120"/>
      <c r="B49" s="36"/>
      <c r="C49" s="228"/>
      <c r="D49" s="228"/>
      <c r="E49" s="228"/>
      <c r="F49" s="228"/>
      <c r="G49" s="228"/>
      <c r="H49" s="228"/>
    </row>
    <row r="50" spans="1:18" s="2" customFormat="1">
      <c r="A50" s="137" t="s">
        <v>222</v>
      </c>
      <c r="B50" s="40" t="s">
        <v>212</v>
      </c>
      <c r="C50" s="287">
        <v>110987</v>
      </c>
      <c r="D50" s="287">
        <v>119270</v>
      </c>
      <c r="E50" s="287">
        <v>127426</v>
      </c>
      <c r="F50" s="287">
        <v>135016</v>
      </c>
      <c r="G50" s="287">
        <v>141451</v>
      </c>
      <c r="H50" s="287">
        <v>147999</v>
      </c>
      <c r="I50" s="3"/>
      <c r="J50" s="38"/>
      <c r="K50" s="38"/>
      <c r="L50" s="38"/>
      <c r="M50" s="38"/>
    </row>
    <row r="51" spans="1:18" ht="12" customHeight="1">
      <c r="A51" s="137" t="s">
        <v>313</v>
      </c>
      <c r="B51" s="40"/>
      <c r="C51" s="39"/>
      <c r="D51" s="39"/>
      <c r="E51" s="39"/>
      <c r="F51" s="39"/>
      <c r="G51" s="39"/>
      <c r="H51" s="39"/>
    </row>
    <row r="52" spans="1:18">
      <c r="A52" s="119" t="s">
        <v>32</v>
      </c>
      <c r="B52" s="36" t="s">
        <v>24</v>
      </c>
      <c r="C52" s="286">
        <v>247600</v>
      </c>
      <c r="D52" s="286">
        <v>244569</v>
      </c>
      <c r="E52" s="286">
        <v>241880</v>
      </c>
      <c r="F52" s="39">
        <v>240430</v>
      </c>
      <c r="G52" s="286">
        <v>238790</v>
      </c>
      <c r="H52" s="286">
        <v>237850</v>
      </c>
    </row>
    <row r="53" spans="1:18">
      <c r="A53" s="119" t="s">
        <v>33</v>
      </c>
      <c r="C53" s="38"/>
      <c r="D53" s="38"/>
      <c r="E53" s="38"/>
      <c r="F53" s="41"/>
      <c r="G53" s="38"/>
      <c r="H53" s="38"/>
    </row>
    <row r="54" spans="1:18" ht="11.25" customHeight="1">
      <c r="A54" s="133"/>
      <c r="B54" s="133"/>
      <c r="C54" s="133"/>
      <c r="D54" s="133"/>
      <c r="E54" s="133"/>
      <c r="F54" s="133"/>
      <c r="G54" s="133"/>
      <c r="H54" s="133"/>
      <c r="J54" s="38"/>
      <c r="K54" s="38"/>
      <c r="L54" s="38"/>
    </row>
    <row r="55" spans="1:18" s="2" customFormat="1">
      <c r="A55" s="130" t="s">
        <v>218</v>
      </c>
      <c r="B55" s="40" t="s">
        <v>212</v>
      </c>
      <c r="C55" s="39">
        <v>3694</v>
      </c>
      <c r="D55" s="39">
        <v>3536</v>
      </c>
      <c r="E55" s="39">
        <v>3510</v>
      </c>
      <c r="F55" s="39">
        <v>3442</v>
      </c>
      <c r="G55" s="39">
        <v>3363</v>
      </c>
      <c r="H55" s="39">
        <v>3226</v>
      </c>
      <c r="I55" s="3"/>
      <c r="J55" s="38">
        <f>ROUND(F57*F58*12/1000,0)</f>
        <v>3442</v>
      </c>
      <c r="K55" s="38">
        <f t="shared" ref="K55:L55" si="14">ROUND(G57*G58*12/1000,0)</f>
        <v>3363</v>
      </c>
      <c r="L55" s="38">
        <f t="shared" si="14"/>
        <v>3226</v>
      </c>
      <c r="M55" s="2">
        <f>J55-F55</f>
        <v>0</v>
      </c>
      <c r="N55" s="2">
        <f t="shared" ref="N55" si="15">K55-G55</f>
        <v>0</v>
      </c>
      <c r="O55" s="2">
        <f t="shared" ref="O55" si="16">L55-H55</f>
        <v>0</v>
      </c>
      <c r="P55" s="3"/>
      <c r="Q55" s="3"/>
      <c r="R55" s="3"/>
    </row>
    <row r="56" spans="1:18">
      <c r="A56" s="120" t="s">
        <v>34</v>
      </c>
      <c r="B56" s="36" t="s">
        <v>24</v>
      </c>
      <c r="C56" s="286">
        <v>1472</v>
      </c>
      <c r="D56" s="286">
        <v>1297</v>
      </c>
      <c r="E56" s="286">
        <v>1180</v>
      </c>
      <c r="F56" s="39">
        <v>1080</v>
      </c>
      <c r="G56" s="286">
        <v>990</v>
      </c>
      <c r="H56" s="286">
        <v>900</v>
      </c>
      <c r="J56" s="38"/>
      <c r="K56" s="38"/>
      <c r="L56" s="38"/>
      <c r="M56" s="38"/>
    </row>
    <row r="57" spans="1:18">
      <c r="A57" s="120" t="s">
        <v>28</v>
      </c>
      <c r="B57" s="36" t="s">
        <v>2</v>
      </c>
      <c r="C57" s="286">
        <v>1482</v>
      </c>
      <c r="D57" s="286">
        <v>1307</v>
      </c>
      <c r="E57" s="286">
        <v>1189</v>
      </c>
      <c r="F57" s="39">
        <v>1088</v>
      </c>
      <c r="G57" s="286">
        <v>998</v>
      </c>
      <c r="H57" s="286">
        <v>907</v>
      </c>
    </row>
    <row r="58" spans="1:18">
      <c r="A58" s="120" t="s">
        <v>35</v>
      </c>
      <c r="B58" s="36" t="s">
        <v>5</v>
      </c>
      <c r="C58" s="126">
        <v>207.78</v>
      </c>
      <c r="D58" s="126">
        <v>225.47</v>
      </c>
      <c r="E58" s="126">
        <v>246.01</v>
      </c>
      <c r="F58" s="127">
        <v>263.64999999999998</v>
      </c>
      <c r="G58" s="126">
        <v>280.79000000000002</v>
      </c>
      <c r="H58" s="126">
        <v>296.43</v>
      </c>
    </row>
    <row r="59" spans="1:18" ht="12" customHeight="1">
      <c r="B59" s="134"/>
      <c r="C59" s="135"/>
      <c r="D59" s="135"/>
      <c r="E59" s="136"/>
      <c r="F59" s="136"/>
      <c r="G59" s="135"/>
      <c r="H59" s="135"/>
    </row>
    <row r="60" spans="1:18" s="2" customFormat="1">
      <c r="A60" s="137" t="s">
        <v>314</v>
      </c>
      <c r="B60" s="40" t="s">
        <v>212</v>
      </c>
      <c r="C60" s="39">
        <v>47003</v>
      </c>
      <c r="D60" s="39">
        <v>50604</v>
      </c>
      <c r="E60" s="39">
        <v>53506</v>
      </c>
      <c r="F60" s="39">
        <v>56379</v>
      </c>
      <c r="G60" s="39">
        <v>58210</v>
      </c>
      <c r="H60" s="39">
        <v>60587</v>
      </c>
      <c r="I60" s="3"/>
      <c r="J60" s="38">
        <f>J61+F66</f>
        <v>56379</v>
      </c>
      <c r="K60" s="38">
        <f t="shared" ref="K60:L60" si="17">K61+G66</f>
        <v>58210</v>
      </c>
      <c r="L60" s="38">
        <f t="shared" si="17"/>
        <v>60587</v>
      </c>
      <c r="M60" s="2">
        <f>J60-F60</f>
        <v>0</v>
      </c>
      <c r="N60" s="2">
        <f t="shared" ref="N60:N61" si="18">K60-G60</f>
        <v>0</v>
      </c>
      <c r="O60" s="2">
        <f t="shared" ref="O60:O61" si="19">L60-H60</f>
        <v>0</v>
      </c>
      <c r="P60" s="3"/>
      <c r="Q60" s="3"/>
      <c r="R60" s="3"/>
    </row>
    <row r="61" spans="1:18" s="2" customFormat="1">
      <c r="A61" s="119" t="s">
        <v>315</v>
      </c>
      <c r="B61" s="36" t="s">
        <v>212</v>
      </c>
      <c r="C61" s="286">
        <v>47744</v>
      </c>
      <c r="D61" s="286">
        <v>50663</v>
      </c>
      <c r="E61" s="286">
        <v>53463</v>
      </c>
      <c r="F61" s="39">
        <v>56341</v>
      </c>
      <c r="G61" s="286">
        <v>58173</v>
      </c>
      <c r="H61" s="286">
        <v>60554</v>
      </c>
      <c r="I61" s="3"/>
      <c r="J61" s="38">
        <f>ROUND(F63*F64*12/1000,0)</f>
        <v>56341</v>
      </c>
      <c r="K61" s="38">
        <f t="shared" ref="K61" si="20">ROUND(G63*G64*12/1000,0)</f>
        <v>58173</v>
      </c>
      <c r="L61" s="38">
        <f t="shared" ref="L61" si="21">ROUND(H63*H64*12/1000,0)</f>
        <v>60554</v>
      </c>
      <c r="M61" s="2">
        <f>J61-F61</f>
        <v>0</v>
      </c>
      <c r="N61" s="2">
        <f t="shared" si="18"/>
        <v>0</v>
      </c>
      <c r="O61" s="2">
        <f t="shared" si="19"/>
        <v>0</v>
      </c>
      <c r="P61" s="3"/>
      <c r="Q61" s="3"/>
      <c r="R61" s="3"/>
    </row>
    <row r="62" spans="1:18">
      <c r="A62" s="119" t="s">
        <v>36</v>
      </c>
      <c r="B62" s="36" t="s">
        <v>24</v>
      </c>
      <c r="C62" s="286">
        <v>31814</v>
      </c>
      <c r="D62" s="286">
        <v>31241</v>
      </c>
      <c r="E62" s="286">
        <v>30000</v>
      </c>
      <c r="F62" s="39">
        <v>29500</v>
      </c>
      <c r="G62" s="286">
        <v>28600</v>
      </c>
      <c r="H62" s="286">
        <v>28200</v>
      </c>
    </row>
    <row r="63" spans="1:18">
      <c r="A63" s="120" t="s">
        <v>28</v>
      </c>
      <c r="B63" s="36" t="s">
        <v>2</v>
      </c>
      <c r="C63" s="286">
        <v>33812</v>
      </c>
      <c r="D63" s="286">
        <v>33129</v>
      </c>
      <c r="E63" s="286">
        <v>31812</v>
      </c>
      <c r="F63" s="39">
        <v>31282</v>
      </c>
      <c r="G63" s="286">
        <v>30327</v>
      </c>
      <c r="H63" s="286">
        <v>29903</v>
      </c>
    </row>
    <row r="64" spans="1:18">
      <c r="A64" s="119" t="s">
        <v>35</v>
      </c>
      <c r="B64" s="36" t="s">
        <v>5</v>
      </c>
      <c r="C64" s="131">
        <v>117.67</v>
      </c>
      <c r="D64" s="131">
        <v>127.44</v>
      </c>
      <c r="E64" s="131">
        <v>140.05000000000001</v>
      </c>
      <c r="F64" s="132">
        <v>150.09</v>
      </c>
      <c r="G64" s="131">
        <v>159.85</v>
      </c>
      <c r="H64" s="131">
        <v>168.75</v>
      </c>
    </row>
    <row r="65" spans="1:15">
      <c r="A65" s="120" t="s">
        <v>316</v>
      </c>
      <c r="B65" s="36" t="s">
        <v>212</v>
      </c>
      <c r="C65" s="286">
        <v>540</v>
      </c>
      <c r="D65" s="286">
        <v>481</v>
      </c>
      <c r="E65" s="286">
        <v>524</v>
      </c>
      <c r="F65" s="39">
        <v>562</v>
      </c>
      <c r="G65" s="286">
        <v>599</v>
      </c>
      <c r="H65" s="286">
        <v>632</v>
      </c>
    </row>
    <row r="66" spans="1:15">
      <c r="A66" s="120" t="s">
        <v>317</v>
      </c>
      <c r="B66" s="36" t="s">
        <v>212</v>
      </c>
      <c r="C66" s="286">
        <v>-741</v>
      </c>
      <c r="D66" s="286">
        <v>-59</v>
      </c>
      <c r="E66" s="286">
        <f>E65-D65</f>
        <v>43</v>
      </c>
      <c r="F66" s="39">
        <v>38</v>
      </c>
      <c r="G66" s="286">
        <v>37</v>
      </c>
      <c r="H66" s="286">
        <v>33</v>
      </c>
    </row>
    <row r="67" spans="1:15" ht="11.25" customHeight="1">
      <c r="C67" s="38"/>
      <c r="D67" s="38"/>
      <c r="E67" s="38"/>
      <c r="F67" s="38"/>
      <c r="G67" s="38"/>
      <c r="H67" s="38"/>
    </row>
    <row r="68" spans="1:15">
      <c r="A68" s="137" t="s">
        <v>318</v>
      </c>
      <c r="B68" s="40" t="s">
        <v>212</v>
      </c>
      <c r="C68" s="291">
        <v>60290</v>
      </c>
      <c r="D68" s="291">
        <v>65130</v>
      </c>
      <c r="E68" s="291">
        <v>70406</v>
      </c>
      <c r="F68" s="291">
        <v>75195</v>
      </c>
      <c r="G68" s="291">
        <v>79878</v>
      </c>
      <c r="H68" s="291">
        <v>84186</v>
      </c>
      <c r="J68" s="38"/>
      <c r="K68" s="38"/>
      <c r="L68" s="38"/>
      <c r="M68" s="38"/>
      <c r="N68" s="38"/>
    </row>
    <row r="69" spans="1:15">
      <c r="A69" s="119" t="s">
        <v>37</v>
      </c>
      <c r="B69" s="36" t="s">
        <v>24</v>
      </c>
      <c r="C69" s="138">
        <v>214314</v>
      </c>
      <c r="D69" s="138">
        <v>212031</v>
      </c>
      <c r="E69" s="138">
        <v>210700</v>
      </c>
      <c r="F69" s="291">
        <v>209850</v>
      </c>
      <c r="G69" s="138">
        <v>209200</v>
      </c>
      <c r="H69" s="138">
        <v>208750</v>
      </c>
      <c r="J69" s="38"/>
      <c r="K69" s="38"/>
      <c r="L69" s="38"/>
      <c r="M69" s="38"/>
    </row>
    <row r="70" spans="1:15">
      <c r="A70" s="119"/>
      <c r="B70" s="36"/>
      <c r="C70" s="138"/>
      <c r="D70" s="138"/>
      <c r="E70" s="138"/>
      <c r="F70" s="138"/>
      <c r="G70" s="138"/>
      <c r="H70" s="138"/>
    </row>
    <row r="71" spans="1:15">
      <c r="A71" s="137" t="s">
        <v>319</v>
      </c>
      <c r="B71" s="40" t="s">
        <v>212</v>
      </c>
      <c r="C71" s="291">
        <v>47542</v>
      </c>
      <c r="D71" s="291">
        <v>51269</v>
      </c>
      <c r="E71" s="291">
        <v>57312</v>
      </c>
      <c r="F71" s="291">
        <v>62147</v>
      </c>
      <c r="G71" s="291">
        <v>66955</v>
      </c>
      <c r="H71" s="291">
        <v>71493</v>
      </c>
      <c r="J71" s="38">
        <f>J73+F78</f>
        <v>62147</v>
      </c>
      <c r="K71" s="38">
        <f>K73+G78</f>
        <v>66955</v>
      </c>
      <c r="L71" s="38">
        <f t="shared" ref="L71" si="22">L73+H78</f>
        <v>71493</v>
      </c>
      <c r="M71" s="2">
        <f>J71-F71</f>
        <v>0</v>
      </c>
      <c r="N71" s="2">
        <f t="shared" ref="N71" si="23">K71-G71</f>
        <v>0</v>
      </c>
      <c r="O71" s="2">
        <f t="shared" ref="O71" si="24">L71-H71</f>
        <v>0</v>
      </c>
    </row>
    <row r="72" spans="1:15">
      <c r="A72" s="137" t="s">
        <v>320</v>
      </c>
      <c r="B72" s="40"/>
      <c r="C72" s="291"/>
      <c r="D72" s="291"/>
      <c r="E72" s="291"/>
      <c r="F72" s="291"/>
      <c r="G72" s="291"/>
      <c r="H72" s="291"/>
      <c r="J72" s="38"/>
      <c r="K72" s="38"/>
      <c r="L72" s="38"/>
      <c r="M72" s="38"/>
      <c r="N72" s="38"/>
    </row>
    <row r="73" spans="1:15">
      <c r="A73" s="119" t="s">
        <v>321</v>
      </c>
      <c r="B73" s="36" t="s">
        <v>212</v>
      </c>
      <c r="C73" s="138">
        <v>48156</v>
      </c>
      <c r="D73" s="138">
        <v>51330</v>
      </c>
      <c r="E73" s="138">
        <v>57278</v>
      </c>
      <c r="F73" s="291">
        <v>62117</v>
      </c>
      <c r="G73" s="138">
        <v>66926</v>
      </c>
      <c r="H73" s="138">
        <v>71467</v>
      </c>
      <c r="J73" s="3">
        <f>ROUND(F75*F76*12/1000,0)</f>
        <v>62117</v>
      </c>
      <c r="K73" s="3">
        <f t="shared" ref="K73" si="25">ROUND(G75*G76*12/1000,0)</f>
        <v>66926</v>
      </c>
      <c r="L73" s="3">
        <f>ROUND(H75*H76*12/1000,0)</f>
        <v>71467</v>
      </c>
      <c r="M73" s="2">
        <f>J73-F73</f>
        <v>0</v>
      </c>
      <c r="N73" s="2">
        <f t="shared" ref="N73" si="26">K73-G73</f>
        <v>0</v>
      </c>
      <c r="O73" s="2">
        <f t="shared" ref="O73" si="27">L73-H73</f>
        <v>0</v>
      </c>
    </row>
    <row r="74" spans="1:15">
      <c r="A74" s="119" t="s">
        <v>37</v>
      </c>
      <c r="B74" s="36" t="s">
        <v>24</v>
      </c>
      <c r="C74" s="138">
        <v>167028</v>
      </c>
      <c r="D74" s="138">
        <v>168261</v>
      </c>
      <c r="E74" s="138">
        <v>170000</v>
      </c>
      <c r="F74" s="291">
        <v>172000</v>
      </c>
      <c r="G74" s="138">
        <v>174000</v>
      </c>
      <c r="H74" s="138">
        <v>176000</v>
      </c>
    </row>
    <row r="75" spans="1:15">
      <c r="A75" s="120" t="s">
        <v>28</v>
      </c>
      <c r="B75" s="36" t="s">
        <v>2</v>
      </c>
      <c r="C75" s="138">
        <v>168628</v>
      </c>
      <c r="D75" s="138">
        <v>169809</v>
      </c>
      <c r="E75" s="138">
        <v>171513</v>
      </c>
      <c r="F75" s="291">
        <v>173531</v>
      </c>
      <c r="G75" s="138">
        <v>175549</v>
      </c>
      <c r="H75" s="138">
        <v>177566</v>
      </c>
    </row>
    <row r="76" spans="1:15">
      <c r="A76" s="119" t="s">
        <v>38</v>
      </c>
      <c r="B76" s="36" t="s">
        <v>5</v>
      </c>
      <c r="C76" s="36">
        <v>23.8</v>
      </c>
      <c r="D76" s="36">
        <v>25.19</v>
      </c>
      <c r="E76" s="36">
        <v>27.83</v>
      </c>
      <c r="F76" s="40">
        <v>29.83</v>
      </c>
      <c r="G76" s="36">
        <v>31.77</v>
      </c>
      <c r="H76" s="36">
        <v>33.54</v>
      </c>
    </row>
    <row r="77" spans="1:15">
      <c r="A77" s="120" t="s">
        <v>322</v>
      </c>
      <c r="B77" s="36" t="s">
        <v>212</v>
      </c>
      <c r="C77" s="138">
        <v>439</v>
      </c>
      <c r="D77" s="138">
        <v>378</v>
      </c>
      <c r="E77" s="138">
        <v>412</v>
      </c>
      <c r="F77" s="291">
        <v>442</v>
      </c>
      <c r="G77" s="138">
        <v>471</v>
      </c>
      <c r="H77" s="138">
        <v>497</v>
      </c>
    </row>
    <row r="78" spans="1:15">
      <c r="A78" s="120" t="s">
        <v>323</v>
      </c>
      <c r="B78" s="36" t="s">
        <v>212</v>
      </c>
      <c r="C78" s="138">
        <v>-614</v>
      </c>
      <c r="D78" s="138">
        <v>-61</v>
      </c>
      <c r="E78" s="138">
        <v>34</v>
      </c>
      <c r="F78" s="291">
        <v>30</v>
      </c>
      <c r="G78" s="138">
        <v>29</v>
      </c>
      <c r="H78" s="138">
        <v>26</v>
      </c>
    </row>
    <row r="79" spans="1:15" ht="9.75" customHeight="1">
      <c r="A79" s="130"/>
      <c r="B79" s="36"/>
      <c r="C79" s="131"/>
      <c r="D79" s="131"/>
      <c r="E79" s="131"/>
      <c r="F79" s="132"/>
      <c r="G79" s="131"/>
      <c r="H79" s="131"/>
    </row>
    <row r="80" spans="1:15">
      <c r="A80" s="137" t="s">
        <v>324</v>
      </c>
      <c r="B80" s="40" t="s">
        <v>212</v>
      </c>
      <c r="C80" s="291">
        <v>12748</v>
      </c>
      <c r="D80" s="291">
        <v>13861</v>
      </c>
      <c r="E80" s="291">
        <v>13094</v>
      </c>
      <c r="F80" s="291">
        <v>13048</v>
      </c>
      <c r="G80" s="291">
        <v>12923</v>
      </c>
      <c r="H80" s="291">
        <v>12693</v>
      </c>
      <c r="J80" s="38">
        <f>ROUND(F82*F83*12/1000,0)</f>
        <v>13048</v>
      </c>
      <c r="K80" s="38">
        <f t="shared" ref="K80" si="28">ROUND(G82*G83*12/1000,0)</f>
        <v>12923</v>
      </c>
      <c r="L80" s="38">
        <f t="shared" ref="L80" si="29">ROUND(H82*H83*12/1000,0)</f>
        <v>12693</v>
      </c>
      <c r="M80" s="2">
        <f>J80-F80</f>
        <v>0</v>
      </c>
      <c r="N80" s="2">
        <f t="shared" ref="N80" si="30">K80-G80</f>
        <v>0</v>
      </c>
      <c r="O80" s="2">
        <f t="shared" ref="O80" si="31">L80-H80</f>
        <v>0</v>
      </c>
    </row>
    <row r="81" spans="1:18">
      <c r="A81" s="119" t="s">
        <v>37</v>
      </c>
      <c r="B81" s="36" t="s">
        <v>24</v>
      </c>
      <c r="C81" s="138">
        <v>47286</v>
      </c>
      <c r="D81" s="138">
        <v>43770</v>
      </c>
      <c r="E81" s="138">
        <v>40700</v>
      </c>
      <c r="F81" s="291">
        <v>37850</v>
      </c>
      <c r="G81" s="138">
        <v>35200</v>
      </c>
      <c r="H81" s="138">
        <v>32750</v>
      </c>
      <c r="J81" s="38"/>
      <c r="K81" s="38"/>
      <c r="L81" s="38"/>
      <c r="M81" s="38"/>
    </row>
    <row r="82" spans="1:18">
      <c r="A82" s="120" t="s">
        <v>28</v>
      </c>
      <c r="B82" s="36" t="s">
        <v>2</v>
      </c>
      <c r="C82" s="138">
        <v>47251</v>
      </c>
      <c r="D82" s="138">
        <v>47790</v>
      </c>
      <c r="E82" s="138">
        <v>41758</v>
      </c>
      <c r="F82" s="291">
        <v>38834</v>
      </c>
      <c r="G82" s="138">
        <v>36115</v>
      </c>
      <c r="H82" s="138">
        <v>33602</v>
      </c>
    </row>
    <row r="83" spans="1:18">
      <c r="A83" s="119" t="s">
        <v>38</v>
      </c>
      <c r="B83" s="36" t="s">
        <v>5</v>
      </c>
      <c r="C83" s="36">
        <v>22.48</v>
      </c>
      <c r="D83" s="36">
        <v>24.17</v>
      </c>
      <c r="E83" s="36">
        <v>26.13</v>
      </c>
      <c r="F83" s="40">
        <v>28</v>
      </c>
      <c r="G83" s="36">
        <v>29.82</v>
      </c>
      <c r="H83" s="36">
        <v>31.48</v>
      </c>
    </row>
    <row r="84" spans="1:18">
      <c r="A84" s="119"/>
      <c r="B84" s="36"/>
      <c r="C84" s="36"/>
      <c r="D84" s="36"/>
      <c r="E84" s="36"/>
      <c r="F84" s="40"/>
      <c r="G84" s="36"/>
      <c r="H84" s="36"/>
    </row>
    <row r="85" spans="1:18" s="2" customFormat="1">
      <c r="A85" s="130" t="s">
        <v>223</v>
      </c>
      <c r="B85" s="40" t="s">
        <v>212</v>
      </c>
      <c r="C85" s="287">
        <v>1093</v>
      </c>
      <c r="D85" s="287">
        <v>1100</v>
      </c>
      <c r="E85" s="287">
        <v>1137</v>
      </c>
      <c r="F85" s="287">
        <v>1149</v>
      </c>
      <c r="G85" s="287">
        <v>1150</v>
      </c>
      <c r="H85" s="287">
        <v>1175</v>
      </c>
      <c r="J85" s="38">
        <f>ROUND(F87*F88*12/1000,0)</f>
        <v>1149</v>
      </c>
      <c r="K85" s="38">
        <f t="shared" ref="K85" si="32">ROUND(G87*G88*12/1000,0)</f>
        <v>1150</v>
      </c>
      <c r="L85" s="38">
        <f t="shared" ref="L85" si="33">ROUND(H87*H88*12/1000,0)</f>
        <v>1175</v>
      </c>
      <c r="M85" s="2">
        <f>J85-F85</f>
        <v>0</v>
      </c>
      <c r="N85" s="2">
        <f t="shared" ref="N85" si="34">K85-G85</f>
        <v>0</v>
      </c>
      <c r="O85" s="2">
        <f t="shared" ref="O85" si="35">L85-H85</f>
        <v>0</v>
      </c>
      <c r="P85" s="3"/>
      <c r="Q85" s="3"/>
      <c r="R85" s="3"/>
    </row>
    <row r="86" spans="1:18">
      <c r="A86" s="3" t="s">
        <v>206</v>
      </c>
      <c r="B86" s="36" t="s">
        <v>24</v>
      </c>
      <c r="C86" s="286">
        <v>390</v>
      </c>
      <c r="D86" s="286">
        <v>366</v>
      </c>
      <c r="E86" s="286">
        <v>350</v>
      </c>
      <c r="F86" s="39">
        <v>330</v>
      </c>
      <c r="G86" s="286">
        <v>310</v>
      </c>
      <c r="H86" s="286">
        <v>300</v>
      </c>
      <c r="J86" s="38"/>
      <c r="K86" s="38"/>
      <c r="L86" s="38"/>
      <c r="M86" s="38"/>
    </row>
    <row r="87" spans="1:18" ht="13.5" customHeight="1">
      <c r="A87" s="120" t="s">
        <v>41</v>
      </c>
      <c r="B87" s="36" t="s">
        <v>2</v>
      </c>
      <c r="C87" s="286">
        <v>392</v>
      </c>
      <c r="D87" s="286">
        <v>367</v>
      </c>
      <c r="E87" s="286">
        <v>351</v>
      </c>
      <c r="F87" s="39">
        <v>331</v>
      </c>
      <c r="G87" s="286">
        <v>311</v>
      </c>
      <c r="H87" s="286">
        <v>301</v>
      </c>
    </row>
    <row r="88" spans="1:18">
      <c r="A88" s="120" t="s">
        <v>207</v>
      </c>
      <c r="B88" s="36" t="s">
        <v>5</v>
      </c>
      <c r="C88" s="139">
        <v>232.65</v>
      </c>
      <c r="D88" s="139">
        <v>249.7</v>
      </c>
      <c r="E88" s="139">
        <v>269.94</v>
      </c>
      <c r="F88" s="127">
        <v>289.29000000000002</v>
      </c>
      <c r="G88" s="126">
        <v>308.08999999999997</v>
      </c>
      <c r="H88" s="126">
        <v>325.25</v>
      </c>
    </row>
    <row r="89" spans="1:18" ht="22.5" customHeight="1">
      <c r="A89" s="120"/>
      <c r="B89" s="36"/>
      <c r="C89" s="139"/>
      <c r="D89" s="139"/>
      <c r="E89" s="139"/>
      <c r="F89" s="127"/>
      <c r="G89" s="126"/>
      <c r="H89" s="126"/>
    </row>
    <row r="90" spans="1:18" ht="14.25" customHeight="1">
      <c r="A90" s="120"/>
      <c r="B90" s="36"/>
      <c r="C90" s="139"/>
      <c r="D90" s="139"/>
      <c r="E90" s="139"/>
      <c r="F90" s="127"/>
      <c r="G90" s="35"/>
      <c r="H90" s="35" t="s">
        <v>19</v>
      </c>
    </row>
    <row r="91" spans="1:18">
      <c r="B91" s="36"/>
      <c r="C91" s="131"/>
      <c r="D91" s="131"/>
      <c r="E91" s="131"/>
      <c r="F91" s="132"/>
      <c r="G91" s="35"/>
      <c r="H91" s="35" t="s">
        <v>43</v>
      </c>
    </row>
    <row r="92" spans="1:18">
      <c r="B92" s="36"/>
      <c r="C92" s="131"/>
      <c r="D92" s="131"/>
      <c r="E92" s="131"/>
      <c r="F92" s="132"/>
      <c r="G92" s="35"/>
      <c r="H92" s="35"/>
    </row>
    <row r="93" spans="1:18" ht="12" customHeight="1">
      <c r="A93" s="274"/>
      <c r="B93" s="418" t="s">
        <v>1</v>
      </c>
      <c r="C93" s="416" t="s">
        <v>345</v>
      </c>
      <c r="D93" s="416" t="s">
        <v>401</v>
      </c>
      <c r="E93" s="416" t="s">
        <v>402</v>
      </c>
      <c r="F93" s="414" t="s">
        <v>403</v>
      </c>
      <c r="G93" s="416" t="s">
        <v>346</v>
      </c>
      <c r="H93" s="416" t="s">
        <v>404</v>
      </c>
    </row>
    <row r="94" spans="1:18" ht="17.25" customHeight="1">
      <c r="A94" s="275"/>
      <c r="B94" s="419" t="s">
        <v>2</v>
      </c>
      <c r="C94" s="420"/>
      <c r="D94" s="420"/>
      <c r="E94" s="420"/>
      <c r="F94" s="415"/>
      <c r="G94" s="417"/>
      <c r="H94" s="417"/>
    </row>
    <row r="95" spans="1:18" ht="9.75" customHeight="1">
      <c r="A95" s="4"/>
      <c r="B95" s="104"/>
      <c r="C95" s="104"/>
      <c r="D95" s="104"/>
      <c r="E95" s="5"/>
      <c r="F95" s="105"/>
      <c r="G95" s="5"/>
      <c r="H95" s="5"/>
    </row>
    <row r="96" spans="1:18" ht="12.45" customHeight="1">
      <c r="A96" s="130" t="s">
        <v>224</v>
      </c>
      <c r="B96" s="40" t="s">
        <v>212</v>
      </c>
      <c r="C96" s="287">
        <v>11655</v>
      </c>
      <c r="D96" s="287">
        <v>11815</v>
      </c>
      <c r="E96" s="287">
        <v>12354</v>
      </c>
      <c r="F96" s="287">
        <v>12477</v>
      </c>
      <c r="G96" s="287">
        <v>12515</v>
      </c>
      <c r="H96" s="287">
        <v>13026</v>
      </c>
      <c r="J96" s="38">
        <f>ROUND(F99*F100*12/1000,0)</f>
        <v>12477</v>
      </c>
      <c r="K96" s="38">
        <f>ROUND(G99*G100*12/1000,0)</f>
        <v>12515</v>
      </c>
      <c r="L96" s="38">
        <f>ROUND(H99*H100*12/1000,0)</f>
        <v>13026</v>
      </c>
      <c r="M96" s="2">
        <f>J96-F96</f>
        <v>0</v>
      </c>
      <c r="N96" s="2">
        <f t="shared" ref="N96:O96" si="36">K96-G96</f>
        <v>0</v>
      </c>
      <c r="O96" s="2">
        <f t="shared" si="36"/>
        <v>0</v>
      </c>
    </row>
    <row r="97" spans="1:15" ht="12.45" customHeight="1">
      <c r="A97" s="120" t="s">
        <v>39</v>
      </c>
      <c r="B97" s="36"/>
      <c r="C97" s="39"/>
      <c r="D97" s="39"/>
      <c r="E97" s="39"/>
      <c r="F97" s="39"/>
      <c r="G97" s="286"/>
      <c r="H97" s="286"/>
    </row>
    <row r="98" spans="1:15" ht="12.45" customHeight="1">
      <c r="A98" s="120" t="s">
        <v>40</v>
      </c>
      <c r="B98" s="36" t="s">
        <v>24</v>
      </c>
      <c r="C98" s="286">
        <v>4465</v>
      </c>
      <c r="D98" s="286">
        <v>4206</v>
      </c>
      <c r="E98" s="286">
        <v>4000</v>
      </c>
      <c r="F98" s="39">
        <v>3770</v>
      </c>
      <c r="G98" s="286">
        <v>3550</v>
      </c>
      <c r="H98" s="286">
        <v>3500</v>
      </c>
      <c r="J98" s="38"/>
      <c r="K98" s="38"/>
      <c r="L98" s="38"/>
      <c r="M98" s="38"/>
    </row>
    <row r="99" spans="1:15">
      <c r="A99" s="120" t="s">
        <v>41</v>
      </c>
      <c r="B99" s="36" t="s">
        <v>2</v>
      </c>
      <c r="C99" s="286">
        <v>4658</v>
      </c>
      <c r="D99" s="286">
        <v>4386</v>
      </c>
      <c r="E99" s="286">
        <v>4171</v>
      </c>
      <c r="F99" s="39">
        <v>3931</v>
      </c>
      <c r="G99" s="286">
        <v>3702</v>
      </c>
      <c r="H99" s="286">
        <v>3650</v>
      </c>
    </row>
    <row r="100" spans="1:15" ht="12.45" customHeight="1">
      <c r="A100" s="3" t="s">
        <v>42</v>
      </c>
      <c r="B100" s="36" t="s">
        <v>5</v>
      </c>
      <c r="C100" s="139">
        <v>208.53</v>
      </c>
      <c r="D100" s="139">
        <v>224.46</v>
      </c>
      <c r="E100" s="139">
        <v>246.82</v>
      </c>
      <c r="F100" s="292">
        <v>264.51</v>
      </c>
      <c r="G100" s="139">
        <v>281.70999999999998</v>
      </c>
      <c r="H100" s="139">
        <v>297.39999999999998</v>
      </c>
    </row>
    <row r="101" spans="1:15" ht="13.5" customHeight="1">
      <c r="A101" s="4"/>
      <c r="B101" s="140"/>
      <c r="C101" s="104"/>
      <c r="D101" s="104"/>
      <c r="E101" s="104"/>
      <c r="F101" s="105"/>
      <c r="G101" s="5"/>
      <c r="H101" s="5"/>
    </row>
    <row r="102" spans="1:15">
      <c r="A102" s="130" t="s">
        <v>325</v>
      </c>
      <c r="B102" s="40" t="s">
        <v>212</v>
      </c>
      <c r="C102" s="287">
        <v>21325</v>
      </c>
      <c r="D102" s="287">
        <v>19997</v>
      </c>
      <c r="E102" s="287">
        <v>23226</v>
      </c>
      <c r="F102" s="287">
        <v>24891</v>
      </c>
      <c r="G102" s="287">
        <v>26509</v>
      </c>
      <c r="H102" s="287">
        <v>27986</v>
      </c>
      <c r="J102" s="38">
        <f>ROUND(F104*F105*12/1000,0)</f>
        <v>24891</v>
      </c>
      <c r="K102" s="38">
        <f t="shared" ref="K102" si="37">ROUND(G104*G105*12/1000,0)</f>
        <v>26509</v>
      </c>
      <c r="L102" s="38">
        <f t="shared" ref="L102" si="38">ROUND(H104*H105*12/1000,0)</f>
        <v>27986</v>
      </c>
      <c r="M102" s="2">
        <f>J102-F102</f>
        <v>0</v>
      </c>
      <c r="N102" s="2">
        <f t="shared" ref="N102" si="39">K102-G102</f>
        <v>0</v>
      </c>
      <c r="O102" s="2">
        <f t="shared" ref="O102" si="40">L102-H102</f>
        <v>0</v>
      </c>
    </row>
    <row r="103" spans="1:15">
      <c r="A103" s="3" t="s">
        <v>208</v>
      </c>
      <c r="B103" s="36" t="s">
        <v>24</v>
      </c>
      <c r="C103" s="286">
        <v>6857</v>
      </c>
      <c r="D103" s="286">
        <v>5956</v>
      </c>
      <c r="E103" s="286">
        <v>6200</v>
      </c>
      <c r="F103" s="39">
        <v>6200</v>
      </c>
      <c r="G103" s="286">
        <v>6200</v>
      </c>
      <c r="H103" s="286">
        <v>6200</v>
      </c>
      <c r="J103" s="38"/>
      <c r="K103" s="38"/>
      <c r="L103" s="38"/>
      <c r="M103" s="38"/>
    </row>
    <row r="104" spans="1:15">
      <c r="A104" s="120" t="s">
        <v>41</v>
      </c>
      <c r="B104" s="36" t="s">
        <v>2</v>
      </c>
      <c r="C104" s="286">
        <v>7814</v>
      </c>
      <c r="D104" s="286">
        <v>6645</v>
      </c>
      <c r="E104" s="286">
        <v>6917</v>
      </c>
      <c r="F104" s="39">
        <v>6917</v>
      </c>
      <c r="G104" s="286">
        <v>6917</v>
      </c>
      <c r="H104" s="286">
        <v>6917</v>
      </c>
    </row>
    <row r="105" spans="1:15">
      <c r="A105" s="3" t="s">
        <v>209</v>
      </c>
      <c r="B105" s="36" t="s">
        <v>5</v>
      </c>
      <c r="C105" s="131">
        <v>227.42</v>
      </c>
      <c r="D105" s="131">
        <v>250.78</v>
      </c>
      <c r="E105" s="131">
        <v>279.82</v>
      </c>
      <c r="F105" s="127">
        <v>299.88</v>
      </c>
      <c r="G105" s="126">
        <v>319.37</v>
      </c>
      <c r="H105" s="126">
        <v>337.16</v>
      </c>
    </row>
    <row r="106" spans="1:15">
      <c r="B106" s="36"/>
      <c r="C106" s="39"/>
      <c r="D106" s="39"/>
      <c r="E106" s="39"/>
      <c r="F106" s="39"/>
      <c r="G106" s="286"/>
      <c r="H106" s="286"/>
    </row>
    <row r="107" spans="1:15" ht="13.5" customHeight="1">
      <c r="A107" s="130" t="s">
        <v>326</v>
      </c>
      <c r="B107" s="40" t="s">
        <v>212</v>
      </c>
      <c r="C107" s="287">
        <v>10261</v>
      </c>
      <c r="D107" s="287">
        <v>10843</v>
      </c>
      <c r="E107" s="287">
        <v>12296</v>
      </c>
      <c r="F107" s="287">
        <v>13177</v>
      </c>
      <c r="G107" s="287">
        <v>14034</v>
      </c>
      <c r="H107" s="287">
        <v>14815</v>
      </c>
      <c r="J107" s="38">
        <f>ROUND(F109*F110/1000,0)</f>
        <v>13177</v>
      </c>
      <c r="K107" s="38">
        <f t="shared" ref="K107:L107" si="41">ROUND(G109*G110/1000,0)</f>
        <v>14034</v>
      </c>
      <c r="L107" s="38">
        <f t="shared" si="41"/>
        <v>14815</v>
      </c>
      <c r="M107" s="2">
        <f>J107-F107</f>
        <v>0</v>
      </c>
      <c r="N107" s="2">
        <f t="shared" ref="N107" si="42">K107-G107</f>
        <v>0</v>
      </c>
      <c r="O107" s="2">
        <f t="shared" ref="O107" si="43">L107-H107</f>
        <v>0</v>
      </c>
    </row>
    <row r="108" spans="1:15">
      <c r="A108" s="3" t="s">
        <v>225</v>
      </c>
      <c r="J108" s="38"/>
      <c r="K108" s="38"/>
      <c r="L108" s="38"/>
      <c r="M108" s="38"/>
    </row>
    <row r="109" spans="1:15">
      <c r="A109" s="3" t="s">
        <v>342</v>
      </c>
      <c r="B109" s="36" t="s">
        <v>2</v>
      </c>
      <c r="C109" s="286">
        <v>48344</v>
      </c>
      <c r="D109" s="286">
        <v>47148</v>
      </c>
      <c r="E109" s="286">
        <v>49000</v>
      </c>
      <c r="F109" s="39">
        <v>49000</v>
      </c>
      <c r="G109" s="286">
        <v>49000</v>
      </c>
      <c r="H109" s="286">
        <v>49000</v>
      </c>
    </row>
    <row r="110" spans="1:15" ht="12" customHeight="1">
      <c r="A110" s="3" t="s">
        <v>42</v>
      </c>
      <c r="B110" s="36" t="s">
        <v>5</v>
      </c>
      <c r="C110" s="36">
        <v>212.25</v>
      </c>
      <c r="D110" s="36">
        <v>229.98</v>
      </c>
      <c r="E110" s="36">
        <v>250.93</v>
      </c>
      <c r="F110" s="40">
        <v>268.92</v>
      </c>
      <c r="G110" s="36">
        <v>286.39999999999998</v>
      </c>
      <c r="H110" s="36">
        <v>302.35000000000002</v>
      </c>
    </row>
    <row r="111" spans="1:15" ht="12.75" customHeight="1">
      <c r="B111" s="36"/>
    </row>
    <row r="112" spans="1:15">
      <c r="A112" s="130" t="s">
        <v>226</v>
      </c>
      <c r="B112" s="40" t="s">
        <v>212</v>
      </c>
      <c r="C112" s="41">
        <v>488</v>
      </c>
      <c r="D112" s="41">
        <v>163</v>
      </c>
      <c r="E112" s="41">
        <v>200</v>
      </c>
      <c r="F112" s="41">
        <v>200</v>
      </c>
      <c r="G112" s="41">
        <v>200</v>
      </c>
      <c r="H112" s="41">
        <v>200</v>
      </c>
      <c r="J112" s="38"/>
      <c r="K112" s="38"/>
      <c r="L112" s="38"/>
      <c r="M112" s="38"/>
      <c r="N112" s="38"/>
    </row>
    <row r="113" spans="1:13" ht="13.5" customHeight="1">
      <c r="A113" s="3" t="s">
        <v>227</v>
      </c>
      <c r="B113" s="36"/>
      <c r="C113" s="141"/>
      <c r="D113" s="141"/>
      <c r="E113" s="141"/>
      <c r="J113" s="38"/>
      <c r="K113" s="38"/>
      <c r="L113" s="38"/>
      <c r="M113" s="38"/>
    </row>
    <row r="114" spans="1:13" ht="12" customHeight="1">
      <c r="A114" s="4"/>
      <c r="B114" s="193"/>
      <c r="C114" s="104"/>
      <c r="D114" s="104"/>
      <c r="E114" s="104"/>
      <c r="F114" s="105"/>
      <c r="G114" s="5"/>
      <c r="H114" s="5"/>
    </row>
    <row r="115" spans="1:13" s="142" customFormat="1" ht="18.75" customHeight="1">
      <c r="A115" s="293" t="s">
        <v>519</v>
      </c>
      <c r="B115" s="294" t="s">
        <v>212</v>
      </c>
      <c r="C115" s="295">
        <v>305723</v>
      </c>
      <c r="D115" s="295">
        <v>308838</v>
      </c>
      <c r="E115" s="295">
        <v>522778.1</v>
      </c>
      <c r="F115" s="295">
        <v>458787</v>
      </c>
      <c r="G115" s="295">
        <v>401573.1</v>
      </c>
      <c r="H115" s="295">
        <v>414830.1</v>
      </c>
      <c r="I115" s="143"/>
    </row>
    <row r="116" spans="1:13" s="142" customFormat="1">
      <c r="A116" s="241"/>
      <c r="B116" s="242"/>
      <c r="C116" s="296"/>
      <c r="D116" s="296"/>
      <c r="E116" s="296"/>
      <c r="F116" s="296"/>
      <c r="G116" s="296"/>
      <c r="H116" s="296"/>
      <c r="I116" s="143"/>
    </row>
    <row r="117" spans="1:13" s="142" customFormat="1" ht="16.5" customHeight="1">
      <c r="A117" s="297" t="s">
        <v>520</v>
      </c>
      <c r="B117" s="298" t="s">
        <v>212</v>
      </c>
      <c r="C117" s="18">
        <v>305723</v>
      </c>
      <c r="D117" s="18">
        <v>308838</v>
      </c>
      <c r="E117" s="18">
        <v>522778</v>
      </c>
      <c r="F117" s="18">
        <v>458787</v>
      </c>
      <c r="G117" s="18">
        <v>401573</v>
      </c>
      <c r="H117" s="18">
        <v>414830</v>
      </c>
      <c r="I117" s="143"/>
    </row>
    <row r="118" spans="1:13" s="142" customFormat="1" ht="13.8">
      <c r="A118" s="297" t="s">
        <v>521</v>
      </c>
      <c r="B118" s="242"/>
      <c r="C118" s="299"/>
      <c r="D118" s="299"/>
      <c r="E118" s="299"/>
      <c r="F118" s="299"/>
      <c r="G118" s="299"/>
      <c r="H118" s="299"/>
      <c r="I118" s="143"/>
    </row>
    <row r="119" spans="1:13" s="142" customFormat="1" ht="15.75" customHeight="1">
      <c r="A119" s="300" t="s">
        <v>522</v>
      </c>
      <c r="B119" s="298" t="s">
        <v>212</v>
      </c>
      <c r="C119" s="18">
        <v>305719</v>
      </c>
      <c r="D119" s="18">
        <v>308835</v>
      </c>
      <c r="E119" s="18">
        <v>522776</v>
      </c>
      <c r="F119" s="18">
        <v>458785</v>
      </c>
      <c r="G119" s="18">
        <v>401571</v>
      </c>
      <c r="H119" s="18">
        <v>414828</v>
      </c>
      <c r="I119" s="143"/>
    </row>
    <row r="120" spans="1:13" s="142" customFormat="1" ht="12.75" customHeight="1">
      <c r="A120" s="241" t="s">
        <v>228</v>
      </c>
      <c r="B120" s="243" t="s">
        <v>212</v>
      </c>
      <c r="C120" s="244">
        <v>302899</v>
      </c>
      <c r="D120" s="244">
        <v>311892</v>
      </c>
      <c r="E120" s="244">
        <v>522283</v>
      </c>
      <c r="F120" s="245">
        <v>458569</v>
      </c>
      <c r="G120" s="244">
        <v>401232</v>
      </c>
      <c r="H120" s="244">
        <v>414414</v>
      </c>
      <c r="I120" s="143"/>
    </row>
    <row r="121" spans="1:13" s="142" customFormat="1">
      <c r="A121" s="241" t="s">
        <v>44</v>
      </c>
      <c r="B121" s="301" t="s">
        <v>45</v>
      </c>
      <c r="C121" s="302">
        <v>8.0500000000000007</v>
      </c>
      <c r="D121" s="302">
        <v>7.73</v>
      </c>
      <c r="E121" s="302">
        <v>11.5</v>
      </c>
      <c r="F121" s="303">
        <v>9.6999999999999993</v>
      </c>
      <c r="G121" s="302">
        <v>8.1</v>
      </c>
      <c r="H121" s="302">
        <v>8</v>
      </c>
      <c r="I121" s="143"/>
    </row>
    <row r="122" spans="1:13" s="142" customFormat="1">
      <c r="A122" s="241" t="s">
        <v>46</v>
      </c>
      <c r="B122" s="301" t="s">
        <v>45</v>
      </c>
      <c r="C122" s="304">
        <v>10964342</v>
      </c>
      <c r="D122" s="304">
        <v>10481573</v>
      </c>
      <c r="E122" s="304">
        <v>15338700</v>
      </c>
      <c r="F122" s="305">
        <v>13135740</v>
      </c>
      <c r="G122" s="304">
        <v>11065410</v>
      </c>
      <c r="H122" s="304">
        <v>10934400</v>
      </c>
      <c r="I122" s="143"/>
    </row>
    <row r="123" spans="1:13" s="142" customFormat="1">
      <c r="A123" s="241" t="s">
        <v>157</v>
      </c>
      <c r="B123" s="243" t="s">
        <v>5</v>
      </c>
      <c r="C123" s="302">
        <v>27.63</v>
      </c>
      <c r="D123" s="302">
        <v>29.76</v>
      </c>
      <c r="E123" s="302">
        <v>34.049999999999997</v>
      </c>
      <c r="F123" s="303">
        <v>34.909999999999997</v>
      </c>
      <c r="G123" s="302">
        <v>36.26</v>
      </c>
      <c r="H123" s="302">
        <v>37.9</v>
      </c>
      <c r="I123" s="143"/>
    </row>
    <row r="124" spans="1:13" s="142" customFormat="1">
      <c r="A124" s="241" t="s">
        <v>290</v>
      </c>
      <c r="B124" s="243" t="s">
        <v>212</v>
      </c>
      <c r="C124" s="244">
        <v>11157</v>
      </c>
      <c r="D124" s="244">
        <v>8100</v>
      </c>
      <c r="E124" s="244">
        <v>8593</v>
      </c>
      <c r="F124" s="306">
        <v>8809</v>
      </c>
      <c r="G124" s="244">
        <v>9148</v>
      </c>
      <c r="H124" s="244">
        <v>9562</v>
      </c>
      <c r="I124" s="143"/>
    </row>
    <row r="125" spans="1:13" s="142" customFormat="1">
      <c r="A125" s="241" t="s">
        <v>291</v>
      </c>
      <c r="B125" s="243" t="s">
        <v>212</v>
      </c>
      <c r="C125" s="244">
        <v>2820</v>
      </c>
      <c r="D125" s="244">
        <v>-3057</v>
      </c>
      <c r="E125" s="244">
        <v>493</v>
      </c>
      <c r="F125" s="245">
        <v>216</v>
      </c>
      <c r="G125" s="244">
        <v>339</v>
      </c>
      <c r="H125" s="244">
        <v>414</v>
      </c>
      <c r="I125" s="143"/>
    </row>
    <row r="126" spans="1:13" s="142" customFormat="1">
      <c r="A126" s="241"/>
      <c r="B126" s="243"/>
      <c r="C126" s="246"/>
      <c r="D126" s="246"/>
      <c r="E126" s="246"/>
      <c r="F126" s="246"/>
      <c r="G126" s="246"/>
      <c r="H126" s="246"/>
      <c r="I126" s="143"/>
    </row>
    <row r="127" spans="1:13" s="142" customFormat="1">
      <c r="A127" s="300" t="s">
        <v>523</v>
      </c>
      <c r="B127" s="298" t="s">
        <v>212</v>
      </c>
      <c r="C127" s="307">
        <v>4.3</v>
      </c>
      <c r="D127" s="307">
        <v>2.6</v>
      </c>
      <c r="E127" s="307">
        <v>2</v>
      </c>
      <c r="F127" s="307">
        <v>2</v>
      </c>
      <c r="G127" s="307">
        <v>2</v>
      </c>
      <c r="H127" s="307">
        <v>2</v>
      </c>
      <c r="I127" s="143"/>
    </row>
    <row r="128" spans="1:13" s="142" customFormat="1">
      <c r="A128" s="241" t="s">
        <v>47</v>
      </c>
      <c r="B128" s="301" t="s">
        <v>24</v>
      </c>
      <c r="C128" s="244">
        <v>5</v>
      </c>
      <c r="D128" s="244">
        <v>7</v>
      </c>
      <c r="E128" s="244">
        <v>6</v>
      </c>
      <c r="F128" s="245">
        <v>6</v>
      </c>
      <c r="G128" s="244">
        <v>6</v>
      </c>
      <c r="H128" s="244">
        <v>6</v>
      </c>
      <c r="I128" s="143"/>
    </row>
    <row r="129" spans="1:9" s="142" customFormat="1">
      <c r="A129" s="308" t="s">
        <v>168</v>
      </c>
      <c r="B129" s="301" t="s">
        <v>45</v>
      </c>
      <c r="C129" s="244">
        <v>59</v>
      </c>
      <c r="D129" s="244">
        <v>23</v>
      </c>
      <c r="E129" s="244">
        <v>20</v>
      </c>
      <c r="F129" s="245">
        <v>20</v>
      </c>
      <c r="G129" s="244">
        <v>20</v>
      </c>
      <c r="H129" s="244">
        <v>20</v>
      </c>
      <c r="I129" s="143"/>
    </row>
    <row r="130" spans="1:9" s="142" customFormat="1">
      <c r="A130" s="308" t="s">
        <v>169</v>
      </c>
      <c r="B130" s="243" t="s">
        <v>5</v>
      </c>
      <c r="C130" s="309">
        <v>14.48</v>
      </c>
      <c r="D130" s="309">
        <v>15.73</v>
      </c>
      <c r="E130" s="309">
        <v>16.690000000000001</v>
      </c>
      <c r="F130" s="310">
        <v>17.11</v>
      </c>
      <c r="G130" s="309">
        <v>17.77</v>
      </c>
      <c r="H130" s="309">
        <v>18.57</v>
      </c>
      <c r="I130" s="143"/>
    </row>
    <row r="131" spans="1:9" s="142" customFormat="1">
      <c r="A131" s="241"/>
      <c r="B131" s="243"/>
      <c r="F131" s="247"/>
      <c r="I131" s="143"/>
    </row>
    <row r="132" spans="1:9" s="142" customFormat="1" ht="13.8">
      <c r="A132" s="297" t="s">
        <v>524</v>
      </c>
      <c r="B132" s="298" t="s">
        <v>212</v>
      </c>
      <c r="C132" s="311">
        <v>0.1</v>
      </c>
      <c r="D132" s="311">
        <v>0.5</v>
      </c>
      <c r="E132" s="311">
        <v>0.1</v>
      </c>
      <c r="F132" s="311">
        <v>0.1</v>
      </c>
      <c r="G132" s="311">
        <v>0.1</v>
      </c>
      <c r="H132" s="311">
        <v>0.1</v>
      </c>
      <c r="I132" s="143"/>
    </row>
    <row r="133" spans="1:9" s="142" customFormat="1" ht="13.8">
      <c r="A133" s="297" t="s">
        <v>525</v>
      </c>
      <c r="B133" s="242"/>
      <c r="C133" s="18"/>
      <c r="D133" s="18"/>
      <c r="E133" s="18"/>
      <c r="F133" s="18"/>
      <c r="G133" s="18"/>
      <c r="H133" s="18"/>
      <c r="I133" s="143"/>
    </row>
    <row r="134" spans="1:9" s="142" customFormat="1">
      <c r="A134" s="248"/>
      <c r="B134" s="242"/>
      <c r="C134" s="18"/>
      <c r="D134" s="18"/>
      <c r="E134" s="18"/>
      <c r="F134" s="18"/>
      <c r="G134" s="18"/>
      <c r="H134" s="18"/>
      <c r="I134" s="143"/>
    </row>
    <row r="135" spans="1:9" s="142" customFormat="1" ht="15.6">
      <c r="A135" s="293" t="s">
        <v>526</v>
      </c>
      <c r="B135" s="294" t="s">
        <v>212</v>
      </c>
      <c r="C135" s="295">
        <v>317707</v>
      </c>
      <c r="D135" s="295">
        <v>335104</v>
      </c>
      <c r="E135" s="295">
        <v>349423</v>
      </c>
      <c r="F135" s="295">
        <v>369075</v>
      </c>
      <c r="G135" s="295">
        <v>383389</v>
      </c>
      <c r="H135" s="295">
        <v>400806</v>
      </c>
      <c r="I135" s="267"/>
    </row>
    <row r="136" spans="1:9" s="142" customFormat="1" ht="6" customHeight="1">
      <c r="A136" s="293"/>
      <c r="B136" s="294"/>
      <c r="C136" s="18"/>
      <c r="D136" s="18"/>
      <c r="E136" s="18"/>
      <c r="F136" s="18"/>
      <c r="G136" s="18"/>
      <c r="H136" s="18"/>
      <c r="I136" s="267"/>
    </row>
    <row r="137" spans="1:9" s="142" customFormat="1" ht="13.8">
      <c r="A137" s="297" t="s">
        <v>527</v>
      </c>
      <c r="B137" s="298" t="s">
        <v>212</v>
      </c>
      <c r="C137" s="18">
        <v>317707</v>
      </c>
      <c r="D137" s="18">
        <v>335104</v>
      </c>
      <c r="E137" s="18">
        <v>349423</v>
      </c>
      <c r="F137" s="18">
        <v>369075</v>
      </c>
      <c r="G137" s="18">
        <v>383389</v>
      </c>
      <c r="H137" s="18">
        <v>400806</v>
      </c>
      <c r="I137" s="267"/>
    </row>
    <row r="138" spans="1:9" s="142" customFormat="1" ht="13.8">
      <c r="A138" s="297" t="s">
        <v>528</v>
      </c>
      <c r="B138" s="242"/>
      <c r="C138" s="244"/>
      <c r="D138" s="244"/>
      <c r="E138" s="244"/>
      <c r="F138" s="244"/>
      <c r="G138" s="244"/>
      <c r="H138" s="244"/>
      <c r="I138" s="143"/>
    </row>
    <row r="139" spans="1:9" s="142" customFormat="1" ht="13.5" customHeight="1">
      <c r="A139" s="297"/>
      <c r="B139" s="242"/>
      <c r="C139" s="18"/>
      <c r="D139" s="18"/>
      <c r="E139" s="18"/>
      <c r="F139" s="18"/>
      <c r="G139" s="18"/>
      <c r="H139" s="18"/>
      <c r="I139" s="143"/>
    </row>
    <row r="140" spans="1:9" s="142" customFormat="1">
      <c r="A140" s="300" t="s">
        <v>529</v>
      </c>
      <c r="B140" s="298" t="s">
        <v>212</v>
      </c>
      <c r="C140" s="18">
        <v>72771</v>
      </c>
      <c r="D140" s="18">
        <v>77229</v>
      </c>
      <c r="E140" s="18">
        <v>83887</v>
      </c>
      <c r="F140" s="18">
        <v>90001</v>
      </c>
      <c r="G140" s="18">
        <v>93458</v>
      </c>
      <c r="H140" s="18">
        <v>97706</v>
      </c>
      <c r="I140" s="143"/>
    </row>
    <row r="141" spans="1:9" s="142" customFormat="1">
      <c r="A141" s="241" t="s">
        <v>229</v>
      </c>
      <c r="B141" s="243" t="s">
        <v>212</v>
      </c>
      <c r="C141" s="244">
        <v>72977</v>
      </c>
      <c r="D141" s="244">
        <v>77226</v>
      </c>
      <c r="E141" s="244">
        <v>83884</v>
      </c>
      <c r="F141" s="245">
        <v>90000</v>
      </c>
      <c r="G141" s="244">
        <v>93456</v>
      </c>
      <c r="H141" s="244">
        <v>97704</v>
      </c>
      <c r="I141" s="143"/>
    </row>
    <row r="142" spans="1:9" s="142" customFormat="1">
      <c r="A142" s="241" t="s">
        <v>47</v>
      </c>
      <c r="B142" s="301" t="s">
        <v>24</v>
      </c>
      <c r="C142" s="244">
        <v>24536</v>
      </c>
      <c r="D142" s="244">
        <v>21441</v>
      </c>
      <c r="E142" s="244">
        <v>21500</v>
      </c>
      <c r="F142" s="245">
        <v>22500</v>
      </c>
      <c r="G142" s="244">
        <v>22500</v>
      </c>
      <c r="H142" s="244">
        <v>22500</v>
      </c>
      <c r="I142" s="143"/>
    </row>
    <row r="143" spans="1:9" s="142" customFormat="1">
      <c r="A143" s="241" t="s">
        <v>155</v>
      </c>
      <c r="B143" s="301" t="s">
        <v>45</v>
      </c>
      <c r="C143" s="244">
        <v>1784803</v>
      </c>
      <c r="D143" s="244">
        <v>1738298</v>
      </c>
      <c r="E143" s="244">
        <v>1720000</v>
      </c>
      <c r="F143" s="245">
        <v>1800000</v>
      </c>
      <c r="G143" s="244">
        <v>1800000</v>
      </c>
      <c r="H143" s="244">
        <v>1800000</v>
      </c>
      <c r="I143" s="143"/>
    </row>
    <row r="144" spans="1:9" s="142" customFormat="1" ht="12.75" customHeight="1">
      <c r="A144" s="241" t="s">
        <v>154</v>
      </c>
      <c r="B144" s="301" t="s">
        <v>45</v>
      </c>
      <c r="C144" s="249">
        <v>72.7</v>
      </c>
      <c r="D144" s="249">
        <v>81.099999999999994</v>
      </c>
      <c r="E144" s="249">
        <v>80</v>
      </c>
      <c r="F144" s="250">
        <v>80</v>
      </c>
      <c r="G144" s="249">
        <v>80</v>
      </c>
      <c r="H144" s="249">
        <v>80</v>
      </c>
      <c r="I144" s="143"/>
    </row>
    <row r="145" spans="1:9" s="142" customFormat="1" ht="12.75" customHeight="1">
      <c r="A145" s="241" t="s">
        <v>164</v>
      </c>
      <c r="B145" s="243" t="s">
        <v>5</v>
      </c>
      <c r="C145" s="302">
        <v>40.9</v>
      </c>
      <c r="D145" s="302">
        <v>44.43</v>
      </c>
      <c r="E145" s="302">
        <v>48.77</v>
      </c>
      <c r="F145" s="303">
        <v>50</v>
      </c>
      <c r="G145" s="302">
        <v>51.92</v>
      </c>
      <c r="H145" s="302">
        <v>54.28</v>
      </c>
      <c r="I145" s="143"/>
    </row>
    <row r="146" spans="1:9" s="142" customFormat="1">
      <c r="A146" s="241" t="s">
        <v>292</v>
      </c>
      <c r="B146" s="243" t="s">
        <v>212</v>
      </c>
      <c r="C146" s="244">
        <v>44</v>
      </c>
      <c r="D146" s="244">
        <v>47</v>
      </c>
      <c r="E146" s="244">
        <v>50</v>
      </c>
      <c r="F146" s="245">
        <v>51</v>
      </c>
      <c r="G146" s="244">
        <v>53</v>
      </c>
      <c r="H146" s="244">
        <v>55</v>
      </c>
      <c r="I146" s="143"/>
    </row>
    <row r="147" spans="1:9" s="142" customFormat="1">
      <c r="A147" s="312" t="s">
        <v>293</v>
      </c>
      <c r="B147" s="243" t="s">
        <v>212</v>
      </c>
      <c r="C147" s="313">
        <v>-206</v>
      </c>
      <c r="D147" s="313">
        <v>2.8</v>
      </c>
      <c r="E147" s="244">
        <v>3</v>
      </c>
      <c r="F147" s="245">
        <v>1</v>
      </c>
      <c r="G147" s="244">
        <v>2</v>
      </c>
      <c r="H147" s="244">
        <v>2</v>
      </c>
      <c r="I147" s="143"/>
    </row>
    <row r="148" spans="1:9" s="142" customFormat="1">
      <c r="A148" s="241"/>
      <c r="B148" s="301"/>
      <c r="C148" s="18"/>
      <c r="D148" s="18"/>
      <c r="E148" s="18"/>
      <c r="F148" s="18"/>
      <c r="G148" s="18"/>
      <c r="H148" s="18"/>
      <c r="I148" s="143"/>
    </row>
    <row r="149" spans="1:9" s="142" customFormat="1" ht="26.4">
      <c r="A149" s="314" t="s">
        <v>530</v>
      </c>
      <c r="B149" s="298" t="s">
        <v>212</v>
      </c>
      <c r="C149" s="307">
        <v>229199</v>
      </c>
      <c r="D149" s="307">
        <v>241167</v>
      </c>
      <c r="E149" s="307">
        <v>248094</v>
      </c>
      <c r="F149" s="307">
        <v>260022</v>
      </c>
      <c r="G149" s="307">
        <v>270138</v>
      </c>
      <c r="H149" s="307">
        <v>282408</v>
      </c>
      <c r="I149" s="143"/>
    </row>
    <row r="150" spans="1:9" s="142" customFormat="1" ht="7.5" customHeight="1">
      <c r="A150" s="248"/>
      <c r="B150" s="242"/>
      <c r="C150" s="245"/>
      <c r="D150" s="245"/>
      <c r="E150" s="245"/>
      <c r="F150" s="245"/>
      <c r="G150" s="245"/>
      <c r="H150" s="245"/>
      <c r="I150" s="143"/>
    </row>
    <row r="151" spans="1:9" s="142" customFormat="1" ht="12.75" customHeight="1">
      <c r="A151" s="315" t="s">
        <v>294</v>
      </c>
      <c r="B151" s="298" t="s">
        <v>212</v>
      </c>
      <c r="C151" s="245">
        <v>126520</v>
      </c>
      <c r="D151" s="245">
        <v>130412</v>
      </c>
      <c r="E151" s="245">
        <v>135897</v>
      </c>
      <c r="F151" s="316">
        <v>145008</v>
      </c>
      <c r="G151" s="316">
        <v>150692</v>
      </c>
      <c r="H151" s="316">
        <v>157559</v>
      </c>
      <c r="I151" s="143"/>
    </row>
    <row r="152" spans="1:9" s="142" customFormat="1" ht="12.75" customHeight="1">
      <c r="A152" s="315" t="s">
        <v>531</v>
      </c>
      <c r="B152" s="242"/>
      <c r="C152" s="244"/>
      <c r="D152" s="244"/>
      <c r="E152" s="244"/>
      <c r="F152" s="245"/>
      <c r="G152" s="244"/>
      <c r="H152" s="244"/>
      <c r="I152" s="143"/>
    </row>
    <row r="153" spans="1:9" s="142" customFormat="1" ht="12.75" customHeight="1">
      <c r="A153" s="315" t="s">
        <v>532</v>
      </c>
      <c r="B153" s="243" t="s">
        <v>212</v>
      </c>
      <c r="C153" s="244">
        <v>124120</v>
      </c>
      <c r="D153" s="244">
        <v>129822</v>
      </c>
      <c r="E153" s="244">
        <v>135479</v>
      </c>
      <c r="F153" s="245">
        <v>144825</v>
      </c>
      <c r="G153" s="244">
        <v>150404</v>
      </c>
      <c r="H153" s="244">
        <v>157208</v>
      </c>
      <c r="I153" s="143"/>
    </row>
    <row r="154" spans="1:9" s="142" customFormat="1" ht="14.25" customHeight="1">
      <c r="A154" s="241" t="s">
        <v>170</v>
      </c>
      <c r="B154" s="301" t="s">
        <v>24</v>
      </c>
      <c r="C154" s="304">
        <v>19754</v>
      </c>
      <c r="D154" s="304">
        <v>19042</v>
      </c>
      <c r="E154" s="304">
        <v>18700</v>
      </c>
      <c r="F154" s="305">
        <v>19500</v>
      </c>
      <c r="G154" s="304">
        <v>19500</v>
      </c>
      <c r="H154" s="304">
        <v>19500</v>
      </c>
      <c r="I154" s="143"/>
    </row>
    <row r="155" spans="1:9" s="142" customFormat="1">
      <c r="A155" s="241" t="s">
        <v>171</v>
      </c>
      <c r="B155" s="243" t="s">
        <v>5</v>
      </c>
      <c r="C155" s="302">
        <v>523.6</v>
      </c>
      <c r="D155" s="302">
        <v>568.14</v>
      </c>
      <c r="E155" s="302">
        <v>603.74</v>
      </c>
      <c r="F155" s="303">
        <v>618.91</v>
      </c>
      <c r="G155" s="302">
        <v>642.75</v>
      </c>
      <c r="H155" s="302">
        <v>671.83</v>
      </c>
      <c r="I155" s="143"/>
    </row>
    <row r="156" spans="1:9" s="142" customFormat="1" ht="15" customHeight="1">
      <c r="A156" s="241" t="s">
        <v>295</v>
      </c>
      <c r="B156" s="243" t="s">
        <v>212</v>
      </c>
      <c r="C156" s="244">
        <v>6283</v>
      </c>
      <c r="D156" s="244">
        <v>6872.7</v>
      </c>
      <c r="E156" s="244">
        <v>7291</v>
      </c>
      <c r="F156" s="245">
        <v>7474</v>
      </c>
      <c r="G156" s="244">
        <v>7762</v>
      </c>
      <c r="H156" s="244">
        <v>8113</v>
      </c>
      <c r="I156" s="143"/>
    </row>
    <row r="157" spans="1:9" s="142" customFormat="1" ht="15" customHeight="1">
      <c r="A157" s="241" t="s">
        <v>296</v>
      </c>
      <c r="B157" s="243" t="s">
        <v>212</v>
      </c>
      <c r="C157" s="244">
        <v>2400</v>
      </c>
      <c r="D157" s="244">
        <v>590</v>
      </c>
      <c r="E157" s="244">
        <v>418</v>
      </c>
      <c r="F157" s="245">
        <v>183</v>
      </c>
      <c r="G157" s="244">
        <v>288</v>
      </c>
      <c r="H157" s="244">
        <v>351</v>
      </c>
      <c r="I157" s="143"/>
    </row>
    <row r="158" spans="1:9" s="142" customFormat="1" ht="15" customHeight="1">
      <c r="A158" s="241"/>
      <c r="B158" s="301"/>
      <c r="C158" s="245"/>
      <c r="D158" s="245"/>
      <c r="E158" s="245"/>
      <c r="F158" s="245"/>
      <c r="G158" s="245"/>
      <c r="H158" s="245"/>
      <c r="I158" s="143"/>
    </row>
    <row r="159" spans="1:9" s="142" customFormat="1" ht="15" customHeight="1">
      <c r="A159" s="315" t="s">
        <v>406</v>
      </c>
      <c r="B159" s="298" t="s">
        <v>212</v>
      </c>
      <c r="C159" s="245">
        <v>102679</v>
      </c>
      <c r="D159" s="245">
        <v>110755</v>
      </c>
      <c r="E159" s="245">
        <v>112197</v>
      </c>
      <c r="F159" s="316">
        <v>115014</v>
      </c>
      <c r="G159" s="316">
        <v>119446</v>
      </c>
      <c r="H159" s="316">
        <v>124849</v>
      </c>
      <c r="I159" s="143"/>
    </row>
    <row r="160" spans="1:9" s="142" customFormat="1">
      <c r="A160" s="315" t="s">
        <v>407</v>
      </c>
      <c r="B160" s="242"/>
      <c r="C160" s="244"/>
      <c r="D160" s="244"/>
      <c r="E160" s="244"/>
      <c r="F160" s="245"/>
      <c r="G160" s="244"/>
      <c r="H160" s="244"/>
      <c r="I160" s="143"/>
    </row>
    <row r="161" spans="1:9" s="142" customFormat="1">
      <c r="A161" s="241" t="s">
        <v>170</v>
      </c>
      <c r="B161" s="301" t="s">
        <v>24</v>
      </c>
      <c r="C161" s="304">
        <v>23820</v>
      </c>
      <c r="D161" s="304">
        <v>23253</v>
      </c>
      <c r="E161" s="304">
        <v>22300</v>
      </c>
      <c r="F161" s="305">
        <v>22300</v>
      </c>
      <c r="G161" s="304">
        <v>22300</v>
      </c>
      <c r="H161" s="304">
        <v>22300</v>
      </c>
      <c r="I161" s="143"/>
    </row>
    <row r="162" spans="1:9" s="142" customFormat="1">
      <c r="A162" s="241" t="s">
        <v>171</v>
      </c>
      <c r="B162" s="243" t="s">
        <v>5</v>
      </c>
      <c r="C162" s="302">
        <v>359.2</v>
      </c>
      <c r="D162" s="302">
        <v>396.92</v>
      </c>
      <c r="E162" s="302">
        <v>419.27</v>
      </c>
      <c r="F162" s="303">
        <v>429.8</v>
      </c>
      <c r="G162" s="302">
        <v>446.36</v>
      </c>
      <c r="H162" s="302">
        <v>466.55</v>
      </c>
      <c r="I162" s="143"/>
    </row>
    <row r="163" spans="1:9" s="142" customFormat="1">
      <c r="A163" s="301"/>
      <c r="B163" s="301"/>
      <c r="C163" s="18"/>
      <c r="D163" s="18"/>
      <c r="E163" s="18"/>
      <c r="F163" s="18"/>
      <c r="G163" s="18"/>
      <c r="H163" s="18"/>
      <c r="I163" s="143"/>
    </row>
    <row r="164" spans="1:9" s="142" customFormat="1" ht="15" customHeight="1">
      <c r="A164" s="317" t="s">
        <v>533</v>
      </c>
      <c r="B164" s="298" t="s">
        <v>212</v>
      </c>
      <c r="C164" s="307">
        <v>15737</v>
      </c>
      <c r="D164" s="307">
        <v>16708</v>
      </c>
      <c r="E164" s="307">
        <v>17442</v>
      </c>
      <c r="F164" s="307">
        <v>19052</v>
      </c>
      <c r="G164" s="307">
        <v>19793</v>
      </c>
      <c r="H164" s="307">
        <v>20692</v>
      </c>
      <c r="I164" s="143"/>
    </row>
    <row r="165" spans="1:9" s="142" customFormat="1">
      <c r="A165" s="318" t="s">
        <v>534</v>
      </c>
      <c r="B165" s="242"/>
      <c r="C165" s="244">
        <v>15618</v>
      </c>
      <c r="D165" s="244">
        <v>16749</v>
      </c>
      <c r="E165" s="244">
        <v>17412</v>
      </c>
      <c r="F165" s="245">
        <v>19039</v>
      </c>
      <c r="G165" s="244">
        <v>19772</v>
      </c>
      <c r="H165" s="244">
        <v>20667</v>
      </c>
      <c r="I165" s="143"/>
    </row>
    <row r="166" spans="1:9" s="142" customFormat="1">
      <c r="A166" s="241" t="s">
        <v>47</v>
      </c>
      <c r="B166" s="301" t="s">
        <v>24</v>
      </c>
      <c r="C166" s="244">
        <v>16380</v>
      </c>
      <c r="D166" s="244">
        <v>15815</v>
      </c>
      <c r="E166" s="244">
        <v>15000</v>
      </c>
      <c r="F166" s="245">
        <v>16000</v>
      </c>
      <c r="G166" s="244">
        <v>16000</v>
      </c>
      <c r="H166" s="244">
        <v>16000</v>
      </c>
      <c r="I166" s="143"/>
    </row>
    <row r="167" spans="1:9" s="142" customFormat="1">
      <c r="A167" s="308" t="s">
        <v>172</v>
      </c>
      <c r="B167" s="243" t="s">
        <v>5</v>
      </c>
      <c r="C167" s="302">
        <v>953.5</v>
      </c>
      <c r="D167" s="302">
        <v>1059.07</v>
      </c>
      <c r="E167" s="302">
        <v>1160.77</v>
      </c>
      <c r="F167" s="303">
        <v>1189.93</v>
      </c>
      <c r="G167" s="302">
        <v>1235.77</v>
      </c>
      <c r="H167" s="302">
        <v>1291.68</v>
      </c>
      <c r="I167" s="143"/>
    </row>
    <row r="168" spans="1:9" s="142" customFormat="1" ht="12.75" hidden="1" customHeight="1">
      <c r="A168" s="241"/>
      <c r="B168" s="243"/>
      <c r="C168" s="251"/>
      <c r="D168" s="251"/>
      <c r="E168" s="251"/>
      <c r="F168" s="251"/>
      <c r="G168" s="252"/>
      <c r="H168" s="252"/>
      <c r="I168" s="143"/>
    </row>
    <row r="169" spans="1:9" s="142" customFormat="1">
      <c r="A169" s="241" t="s">
        <v>297</v>
      </c>
      <c r="B169" s="243" t="s">
        <v>212</v>
      </c>
      <c r="C169" s="244">
        <v>531</v>
      </c>
      <c r="D169" s="244">
        <v>490</v>
      </c>
      <c r="E169" s="244">
        <v>520</v>
      </c>
      <c r="F169" s="245">
        <v>533</v>
      </c>
      <c r="G169" s="244">
        <v>554</v>
      </c>
      <c r="H169" s="244">
        <v>579</v>
      </c>
      <c r="I169" s="143"/>
    </row>
    <row r="170" spans="1:9" s="142" customFormat="1">
      <c r="A170" s="241" t="s">
        <v>298</v>
      </c>
      <c r="B170" s="243" t="s">
        <v>212</v>
      </c>
      <c r="C170" s="244">
        <v>119</v>
      </c>
      <c r="D170" s="244">
        <v>-41</v>
      </c>
      <c r="E170" s="244">
        <v>30</v>
      </c>
      <c r="F170" s="245">
        <v>13</v>
      </c>
      <c r="G170" s="244">
        <v>21</v>
      </c>
      <c r="H170" s="244">
        <v>25</v>
      </c>
      <c r="I170" s="143"/>
    </row>
    <row r="171" spans="1:9" s="142" customFormat="1" ht="4.5" customHeight="1">
      <c r="A171" s="248"/>
      <c r="B171" s="242"/>
      <c r="C171" s="18"/>
      <c r="D171" s="18"/>
      <c r="E171" s="18"/>
      <c r="F171" s="18"/>
      <c r="G171" s="18"/>
      <c r="H171" s="18"/>
      <c r="I171" s="143"/>
    </row>
    <row r="172" spans="1:9" s="142" customFormat="1" ht="14.25" customHeight="1">
      <c r="A172" s="297" t="s">
        <v>535</v>
      </c>
      <c r="B172" s="298" t="s">
        <v>212</v>
      </c>
      <c r="C172" s="17">
        <v>0</v>
      </c>
      <c r="D172" s="17">
        <v>0</v>
      </c>
      <c r="E172" s="17">
        <v>0</v>
      </c>
      <c r="F172" s="18">
        <v>0</v>
      </c>
      <c r="G172" s="17">
        <v>0</v>
      </c>
      <c r="H172" s="17">
        <v>0</v>
      </c>
      <c r="I172" s="143"/>
    </row>
    <row r="173" spans="1:9" s="121" customFormat="1" ht="13.8">
      <c r="A173" s="297" t="s">
        <v>536</v>
      </c>
      <c r="B173" s="242"/>
      <c r="C173" s="249"/>
      <c r="D173" s="249"/>
      <c r="E173" s="249"/>
      <c r="F173" s="250"/>
      <c r="G173" s="249"/>
      <c r="H173" s="249"/>
      <c r="I173" s="144"/>
    </row>
    <row r="174" spans="1:9" s="121" customFormat="1" ht="23.25" customHeight="1">
      <c r="A174" s="297"/>
      <c r="B174" s="242"/>
      <c r="C174" s="249"/>
      <c r="D174" s="249"/>
      <c r="E174" s="249"/>
      <c r="F174" s="250"/>
      <c r="G174" s="249"/>
      <c r="H174" s="249"/>
      <c r="I174" s="144"/>
    </row>
    <row r="175" spans="1:9" s="121" customFormat="1" ht="11.25" customHeight="1">
      <c r="A175" s="241"/>
      <c r="B175" s="243"/>
      <c r="C175" s="249"/>
      <c r="D175" s="249"/>
      <c r="E175" s="249"/>
      <c r="F175" s="249"/>
      <c r="G175" s="249"/>
      <c r="H175" s="31" t="s">
        <v>19</v>
      </c>
      <c r="I175" s="144"/>
    </row>
    <row r="176" spans="1:9" s="121" customFormat="1" ht="17.25" customHeight="1">
      <c r="A176" s="248"/>
      <c r="B176" s="243"/>
      <c r="C176" s="253"/>
      <c r="D176" s="253"/>
      <c r="E176" s="253"/>
      <c r="F176" s="253"/>
      <c r="G176" s="253"/>
      <c r="H176" s="31" t="s">
        <v>48</v>
      </c>
      <c r="I176" s="144"/>
    </row>
    <row r="177" spans="1:13" s="121" customFormat="1" ht="12" customHeight="1">
      <c r="A177" s="274"/>
      <c r="B177" s="418" t="s">
        <v>1</v>
      </c>
      <c r="C177" s="416" t="s">
        <v>345</v>
      </c>
      <c r="D177" s="416" t="s">
        <v>401</v>
      </c>
      <c r="E177" s="416" t="s">
        <v>402</v>
      </c>
      <c r="F177" s="414" t="s">
        <v>403</v>
      </c>
      <c r="G177" s="416" t="s">
        <v>346</v>
      </c>
      <c r="H177" s="416" t="s">
        <v>404</v>
      </c>
    </row>
    <row r="178" spans="1:13" s="121" customFormat="1" ht="17.25" customHeight="1">
      <c r="A178" s="275"/>
      <c r="B178" s="419" t="s">
        <v>2</v>
      </c>
      <c r="C178" s="420"/>
      <c r="D178" s="420"/>
      <c r="E178" s="420"/>
      <c r="F178" s="415"/>
      <c r="G178" s="417"/>
      <c r="H178" s="417"/>
    </row>
    <row r="179" spans="1:13" s="121" customFormat="1" ht="13.5" customHeight="1">
      <c r="A179" s="319"/>
      <c r="B179" s="104"/>
      <c r="C179" s="104"/>
      <c r="D179" s="104"/>
      <c r="E179" s="104"/>
      <c r="F179" s="105"/>
      <c r="G179" s="5"/>
      <c r="H179" s="5"/>
    </row>
    <row r="180" spans="1:13" s="142" customFormat="1" ht="15.6">
      <c r="A180" s="293" t="s">
        <v>537</v>
      </c>
      <c r="B180" s="297" t="s">
        <v>212</v>
      </c>
      <c r="C180" s="320">
        <v>194267</v>
      </c>
      <c r="D180" s="320">
        <v>201259</v>
      </c>
      <c r="E180" s="320">
        <v>320638</v>
      </c>
      <c r="F180" s="320">
        <v>318127</v>
      </c>
      <c r="G180" s="320">
        <v>292958</v>
      </c>
      <c r="H180" s="320">
        <v>288852</v>
      </c>
      <c r="I180" s="143"/>
    </row>
    <row r="181" spans="1:13" s="142" customFormat="1" ht="8.25" customHeight="1">
      <c r="A181" s="248"/>
      <c r="B181" s="242"/>
      <c r="C181" s="251"/>
      <c r="D181" s="251"/>
      <c r="E181" s="251"/>
      <c r="F181" s="251"/>
      <c r="G181" s="252"/>
      <c r="H181" s="252"/>
      <c r="I181" s="143"/>
    </row>
    <row r="182" spans="1:13" s="142" customFormat="1" ht="24.75" customHeight="1">
      <c r="A182" s="321" t="s">
        <v>538</v>
      </c>
      <c r="B182" s="248" t="s">
        <v>212</v>
      </c>
      <c r="C182" s="322">
        <v>167683</v>
      </c>
      <c r="D182" s="322">
        <v>201259</v>
      </c>
      <c r="E182" s="322">
        <v>320638</v>
      </c>
      <c r="F182" s="322">
        <v>318127</v>
      </c>
      <c r="G182" s="322">
        <v>292958</v>
      </c>
      <c r="H182" s="322">
        <v>288852</v>
      </c>
      <c r="I182" s="143"/>
    </row>
    <row r="183" spans="1:13" s="142" customFormat="1" ht="15" customHeight="1">
      <c r="A183" s="323" t="s">
        <v>373</v>
      </c>
      <c r="B183" s="241" t="s">
        <v>212</v>
      </c>
      <c r="C183" s="324">
        <v>166028</v>
      </c>
      <c r="D183" s="324">
        <v>194510</v>
      </c>
      <c r="E183" s="324">
        <v>319781</v>
      </c>
      <c r="F183" s="322">
        <v>317752</v>
      </c>
      <c r="G183" s="324">
        <v>292368</v>
      </c>
      <c r="H183" s="324">
        <v>288133</v>
      </c>
      <c r="I183" s="143"/>
    </row>
    <row r="184" spans="1:13" s="142" customFormat="1" ht="15" customHeight="1">
      <c r="A184" s="323" t="s">
        <v>385</v>
      </c>
      <c r="B184" s="301" t="s">
        <v>24</v>
      </c>
      <c r="C184" s="324">
        <v>57853</v>
      </c>
      <c r="D184" s="324">
        <v>59982</v>
      </c>
      <c r="E184" s="324">
        <v>83800</v>
      </c>
      <c r="F184" s="322">
        <v>75230</v>
      </c>
      <c r="G184" s="324">
        <v>66700</v>
      </c>
      <c r="H184" s="324">
        <v>62850</v>
      </c>
      <c r="I184" s="143"/>
    </row>
    <row r="185" spans="1:13" s="142" customFormat="1" ht="15" customHeight="1">
      <c r="A185" s="323" t="s">
        <v>386</v>
      </c>
      <c r="B185" s="243" t="s">
        <v>5</v>
      </c>
      <c r="C185" s="325">
        <v>239.15</v>
      </c>
      <c r="D185" s="325">
        <v>270.23</v>
      </c>
      <c r="E185" s="325">
        <v>318</v>
      </c>
      <c r="F185" s="326">
        <v>351.98</v>
      </c>
      <c r="G185" s="325">
        <v>365.5</v>
      </c>
      <c r="H185" s="325">
        <v>382.04</v>
      </c>
      <c r="I185" s="143"/>
    </row>
    <row r="186" spans="1:13" s="142" customFormat="1" ht="15" customHeight="1">
      <c r="A186" s="323" t="s">
        <v>374</v>
      </c>
      <c r="B186" s="241" t="s">
        <v>212</v>
      </c>
      <c r="C186" s="324">
        <v>7236</v>
      </c>
      <c r="D186" s="324">
        <v>14074.3</v>
      </c>
      <c r="E186" s="324">
        <v>14931</v>
      </c>
      <c r="F186" s="322">
        <v>15306</v>
      </c>
      <c r="G186" s="324">
        <v>15896</v>
      </c>
      <c r="H186" s="324">
        <v>16615</v>
      </c>
      <c r="I186" s="143"/>
    </row>
    <row r="187" spans="1:13" s="142" customFormat="1" ht="13.5" customHeight="1">
      <c r="A187" s="323" t="s">
        <v>375</v>
      </c>
      <c r="B187" s="241" t="s">
        <v>212</v>
      </c>
      <c r="C187" s="324">
        <v>1655</v>
      </c>
      <c r="D187" s="324">
        <v>6748.6</v>
      </c>
      <c r="E187" s="324">
        <v>857</v>
      </c>
      <c r="F187" s="322">
        <v>375</v>
      </c>
      <c r="G187" s="324">
        <v>590</v>
      </c>
      <c r="H187" s="324">
        <v>719</v>
      </c>
      <c r="I187" s="143"/>
    </row>
    <row r="188" spans="1:13" s="142" customFormat="1" ht="15" customHeight="1">
      <c r="A188" s="248" t="s">
        <v>156</v>
      </c>
      <c r="B188" s="248" t="s">
        <v>212</v>
      </c>
      <c r="C188" s="18">
        <v>0</v>
      </c>
      <c r="D188" s="18">
        <v>0</v>
      </c>
      <c r="E188" s="18">
        <v>0</v>
      </c>
      <c r="F188" s="18">
        <v>0</v>
      </c>
      <c r="G188" s="18">
        <v>0</v>
      </c>
      <c r="H188" s="18">
        <v>0</v>
      </c>
      <c r="I188" s="143"/>
    </row>
    <row r="189" spans="1:13" s="121" customFormat="1" ht="15" customHeight="1">
      <c r="A189" s="248" t="s">
        <v>163</v>
      </c>
      <c r="B189" s="248" t="s">
        <v>212</v>
      </c>
      <c r="C189" s="18">
        <v>26584</v>
      </c>
      <c r="D189" s="327" t="s">
        <v>213</v>
      </c>
      <c r="E189" s="327" t="s">
        <v>213</v>
      </c>
      <c r="F189" s="327" t="s">
        <v>213</v>
      </c>
      <c r="G189" s="327" t="s">
        <v>213</v>
      </c>
      <c r="H189" s="327" t="s">
        <v>213</v>
      </c>
      <c r="I189" s="144"/>
    </row>
    <row r="190" spans="1:13" s="34" customFormat="1" ht="13.8">
      <c r="A190" s="328"/>
      <c r="B190" s="329"/>
      <c r="C190" s="42"/>
      <c r="D190" s="42"/>
      <c r="E190" s="42"/>
      <c r="F190" s="42"/>
      <c r="G190" s="42"/>
      <c r="H190" s="42"/>
      <c r="I190" s="68"/>
    </row>
    <row r="191" spans="1:13" s="44" customFormat="1" ht="13.5" customHeight="1">
      <c r="A191" s="330" t="s">
        <v>539</v>
      </c>
      <c r="B191" s="329" t="s">
        <v>212</v>
      </c>
      <c r="C191" s="254">
        <v>26231</v>
      </c>
      <c r="D191" s="254">
        <v>28723</v>
      </c>
      <c r="E191" s="254">
        <v>30417</v>
      </c>
      <c r="F191" s="254">
        <v>32032</v>
      </c>
      <c r="G191" s="254">
        <v>33988</v>
      </c>
      <c r="H191" s="254">
        <v>36223</v>
      </c>
      <c r="I191" s="43"/>
      <c r="J191" s="254"/>
      <c r="K191" s="254"/>
      <c r="L191" s="254"/>
      <c r="M191" s="254"/>
    </row>
    <row r="192" spans="1:13" s="46" customFormat="1" ht="13.95" customHeight="1">
      <c r="A192" s="331" t="s">
        <v>540</v>
      </c>
      <c r="B192" s="329"/>
      <c r="C192" s="332"/>
      <c r="D192" s="332"/>
      <c r="E192" s="332"/>
      <c r="F192" s="332"/>
      <c r="G192" s="332"/>
      <c r="H192" s="332"/>
      <c r="I192" s="45"/>
    </row>
    <row r="193" spans="1:13" s="1" customFormat="1" ht="10.5" customHeight="1">
      <c r="A193" s="44"/>
      <c r="B193" s="329"/>
      <c r="C193" s="333"/>
      <c r="D193" s="333"/>
      <c r="E193" s="334"/>
      <c r="F193" s="335"/>
      <c r="G193" s="334"/>
      <c r="H193" s="334"/>
      <c r="I193" s="47"/>
    </row>
    <row r="194" spans="1:13" s="44" customFormat="1" ht="17.25" customHeight="1">
      <c r="A194" s="44" t="s">
        <v>541</v>
      </c>
      <c r="B194" s="329" t="s">
        <v>212</v>
      </c>
      <c r="C194" s="254">
        <v>9266</v>
      </c>
      <c r="D194" s="254">
        <v>10719</v>
      </c>
      <c r="E194" s="254">
        <v>10944</v>
      </c>
      <c r="F194" s="254">
        <v>11896</v>
      </c>
      <c r="G194" s="254">
        <v>13071</v>
      </c>
      <c r="H194" s="254">
        <v>14343</v>
      </c>
      <c r="I194" s="48"/>
      <c r="J194" s="254"/>
      <c r="K194" s="254"/>
      <c r="L194" s="254"/>
      <c r="M194" s="254"/>
    </row>
    <row r="195" spans="1:13" s="44" customFormat="1" ht="17.25" customHeight="1">
      <c r="A195" s="44" t="s">
        <v>542</v>
      </c>
      <c r="B195" s="329"/>
      <c r="C195" s="254"/>
      <c r="D195" s="254"/>
      <c r="E195" s="254"/>
      <c r="F195" s="254"/>
      <c r="G195" s="254"/>
      <c r="H195" s="254"/>
      <c r="I195" s="48"/>
    </row>
    <row r="196" spans="1:13" s="1" customFormat="1" ht="13.95" customHeight="1">
      <c r="A196" s="1" t="s">
        <v>274</v>
      </c>
      <c r="B196" s="329"/>
      <c r="C196" s="147"/>
      <c r="D196" s="147"/>
      <c r="E196" s="147"/>
      <c r="F196" s="336"/>
      <c r="G196" s="147"/>
      <c r="H196" s="147"/>
      <c r="I196" s="47"/>
    </row>
    <row r="197" spans="1:13" s="1" customFormat="1" ht="8.25" customHeight="1">
      <c r="A197" s="44"/>
      <c r="B197" s="329"/>
      <c r="C197" s="147"/>
      <c r="D197" s="147"/>
      <c r="E197" s="147"/>
      <c r="F197" s="336"/>
      <c r="G197" s="147"/>
      <c r="H197" s="147"/>
      <c r="I197" s="47"/>
    </row>
    <row r="198" spans="1:13" s="44" customFormat="1" ht="11.25" customHeight="1">
      <c r="A198" s="44" t="s">
        <v>281</v>
      </c>
      <c r="B198" s="329" t="s">
        <v>212</v>
      </c>
      <c r="C198" s="254">
        <v>73</v>
      </c>
      <c r="D198" s="254">
        <v>55</v>
      </c>
      <c r="E198" s="254">
        <v>75</v>
      </c>
      <c r="F198" s="254">
        <v>77</v>
      </c>
      <c r="G198" s="254">
        <v>80</v>
      </c>
      <c r="H198" s="254">
        <v>84</v>
      </c>
      <c r="I198" s="48"/>
    </row>
    <row r="199" spans="1:13" s="1" customFormat="1" ht="13.95" customHeight="1">
      <c r="A199" s="1" t="s">
        <v>49</v>
      </c>
      <c r="B199" s="148" t="s">
        <v>24</v>
      </c>
      <c r="C199" s="337">
        <v>80</v>
      </c>
      <c r="D199" s="337">
        <v>71</v>
      </c>
      <c r="E199" s="337">
        <v>75</v>
      </c>
      <c r="F199" s="338">
        <v>75</v>
      </c>
      <c r="G199" s="337">
        <v>75</v>
      </c>
      <c r="H199" s="337">
        <v>75</v>
      </c>
      <c r="I199" s="47"/>
    </row>
    <row r="200" spans="1:13" s="1" customFormat="1" ht="13.95" customHeight="1">
      <c r="A200" s="1" t="s">
        <v>50</v>
      </c>
      <c r="B200" s="148" t="s">
        <v>51</v>
      </c>
      <c r="C200" s="339">
        <v>29.9</v>
      </c>
      <c r="D200" s="339">
        <v>24</v>
      </c>
      <c r="E200" s="339">
        <v>28.5</v>
      </c>
      <c r="F200" s="340">
        <v>28.5</v>
      </c>
      <c r="G200" s="339">
        <v>28.5</v>
      </c>
      <c r="H200" s="339">
        <v>28.5</v>
      </c>
      <c r="I200" s="47"/>
    </row>
    <row r="201" spans="1:13" s="1" customFormat="1" ht="13.95" customHeight="1">
      <c r="A201" s="1" t="s">
        <v>166</v>
      </c>
      <c r="B201" s="148" t="s">
        <v>5</v>
      </c>
      <c r="C201" s="149">
        <v>30.62</v>
      </c>
      <c r="D201" s="149">
        <v>32.1</v>
      </c>
      <c r="E201" s="149">
        <v>35.200000000000003</v>
      </c>
      <c r="F201" s="150">
        <v>36.1</v>
      </c>
      <c r="G201" s="149">
        <v>37.5</v>
      </c>
      <c r="H201" s="149">
        <v>39.200000000000003</v>
      </c>
      <c r="I201" s="47"/>
    </row>
    <row r="202" spans="1:13" s="1" customFormat="1" ht="13.95" customHeight="1">
      <c r="A202" s="1" t="s">
        <v>165</v>
      </c>
      <c r="B202" s="148" t="s">
        <v>22</v>
      </c>
      <c r="C202" s="337">
        <v>80</v>
      </c>
      <c r="D202" s="337">
        <v>60</v>
      </c>
      <c r="E202" s="337">
        <v>62</v>
      </c>
      <c r="F202" s="338">
        <v>62</v>
      </c>
      <c r="G202" s="337">
        <v>62</v>
      </c>
      <c r="H202" s="337">
        <v>62</v>
      </c>
      <c r="I202" s="47"/>
    </row>
    <row r="203" spans="1:13" s="1" customFormat="1" ht="11.25" customHeight="1">
      <c r="A203" s="1" t="s">
        <v>52</v>
      </c>
      <c r="B203" s="148"/>
      <c r="C203" s="147"/>
      <c r="D203" s="147"/>
      <c r="E203" s="147"/>
      <c r="F203" s="336"/>
      <c r="G203" s="147"/>
      <c r="H203" s="147"/>
      <c r="I203" s="47"/>
    </row>
    <row r="204" spans="1:13" s="1" customFormat="1" ht="11.25" customHeight="1">
      <c r="B204" s="148"/>
      <c r="C204" s="147"/>
      <c r="D204" s="147"/>
      <c r="E204" s="147"/>
      <c r="F204" s="336"/>
      <c r="G204" s="147"/>
      <c r="H204" s="147"/>
      <c r="I204" s="47"/>
    </row>
    <row r="205" spans="1:13" s="44" customFormat="1" ht="14.25" customHeight="1">
      <c r="A205" s="44" t="s">
        <v>282</v>
      </c>
      <c r="B205" s="341" t="s">
        <v>212</v>
      </c>
      <c r="C205" s="254">
        <v>9213</v>
      </c>
      <c r="D205" s="254">
        <v>10674</v>
      </c>
      <c r="E205" s="254">
        <v>10848</v>
      </c>
      <c r="F205" s="254">
        <v>11808</v>
      </c>
      <c r="G205" s="254">
        <v>12977</v>
      </c>
      <c r="H205" s="254">
        <v>14242</v>
      </c>
      <c r="I205" s="48"/>
    </row>
    <row r="206" spans="1:13" s="1" customFormat="1" ht="13.95" customHeight="1">
      <c r="A206" s="1" t="s">
        <v>53</v>
      </c>
      <c r="B206" s="148" t="s">
        <v>24</v>
      </c>
      <c r="C206" s="337">
        <v>8524</v>
      </c>
      <c r="D206" s="337">
        <v>10083</v>
      </c>
      <c r="E206" s="337">
        <v>8900</v>
      </c>
      <c r="F206" s="338">
        <v>9450</v>
      </c>
      <c r="G206" s="337">
        <v>10000</v>
      </c>
      <c r="H206" s="337">
        <v>10500</v>
      </c>
      <c r="I206" s="47"/>
    </row>
    <row r="207" spans="1:13" s="1" customFormat="1" ht="13.95" customHeight="1">
      <c r="A207" s="1" t="s">
        <v>54</v>
      </c>
      <c r="B207" s="148" t="s">
        <v>51</v>
      </c>
      <c r="C207" s="339">
        <v>30.9</v>
      </c>
      <c r="D207" s="339">
        <v>28.31</v>
      </c>
      <c r="E207" s="339">
        <v>30.75</v>
      </c>
      <c r="F207" s="340">
        <v>30.75</v>
      </c>
      <c r="G207" s="339">
        <v>30.75</v>
      </c>
      <c r="H207" s="339">
        <v>30.75</v>
      </c>
      <c r="I207" s="47"/>
    </row>
    <row r="208" spans="1:13" s="1" customFormat="1" ht="13.65" customHeight="1">
      <c r="A208" s="1" t="s">
        <v>167</v>
      </c>
      <c r="B208" s="148" t="s">
        <v>5</v>
      </c>
      <c r="C208" s="149">
        <v>34.979999999999997</v>
      </c>
      <c r="D208" s="149">
        <v>37.4</v>
      </c>
      <c r="E208" s="149">
        <v>39.6</v>
      </c>
      <c r="F208" s="150">
        <v>40.6</v>
      </c>
      <c r="G208" s="149">
        <v>42.2</v>
      </c>
      <c r="H208" s="149">
        <v>44.1</v>
      </c>
      <c r="I208" s="47"/>
    </row>
    <row r="209" spans="1:10" s="1" customFormat="1" ht="13.5" customHeight="1">
      <c r="A209" s="1" t="s">
        <v>165</v>
      </c>
      <c r="B209" s="148" t="s">
        <v>22</v>
      </c>
      <c r="C209" s="337">
        <v>92</v>
      </c>
      <c r="D209" s="337">
        <v>69.900000000000006</v>
      </c>
      <c r="E209" s="337">
        <v>69.8</v>
      </c>
      <c r="F209" s="338">
        <v>69.8</v>
      </c>
      <c r="G209" s="337">
        <v>69.8</v>
      </c>
      <c r="H209" s="337">
        <v>69.8</v>
      </c>
      <c r="I209" s="47"/>
    </row>
    <row r="210" spans="1:10" s="1" customFormat="1" ht="13.5" customHeight="1">
      <c r="A210" s="1" t="s">
        <v>52</v>
      </c>
      <c r="B210" s="148"/>
      <c r="C210" s="147"/>
      <c r="D210" s="147"/>
      <c r="E210" s="147"/>
      <c r="F210" s="336"/>
      <c r="G210" s="147"/>
      <c r="H210" s="147"/>
      <c r="I210" s="47"/>
    </row>
    <row r="211" spans="1:10" s="1" customFormat="1" ht="13.5" customHeight="1">
      <c r="A211" s="1" t="s">
        <v>283</v>
      </c>
      <c r="B211" s="148" t="s">
        <v>212</v>
      </c>
      <c r="C211" s="69">
        <v>334.4</v>
      </c>
      <c r="D211" s="69">
        <v>325</v>
      </c>
      <c r="E211" s="69">
        <v>346</v>
      </c>
      <c r="F211" s="254">
        <v>358</v>
      </c>
      <c r="G211" s="69">
        <v>371</v>
      </c>
      <c r="H211" s="69">
        <v>388</v>
      </c>
      <c r="I211" s="47"/>
    </row>
    <row r="212" spans="1:10" s="1" customFormat="1" ht="13.5" customHeight="1">
      <c r="A212" s="1" t="s">
        <v>284</v>
      </c>
      <c r="B212" s="148"/>
      <c r="C212" s="69"/>
      <c r="D212" s="69"/>
      <c r="E212" s="69"/>
      <c r="F212" s="69"/>
      <c r="G212" s="69"/>
      <c r="H212" s="69"/>
      <c r="I212" s="69"/>
    </row>
    <row r="213" spans="1:10" s="1" customFormat="1" ht="13.5" customHeight="1">
      <c r="A213" s="1" t="s">
        <v>276</v>
      </c>
      <c r="B213" s="148"/>
      <c r="C213" s="69"/>
      <c r="D213" s="69"/>
      <c r="E213" s="69"/>
      <c r="F213" s="254"/>
      <c r="G213" s="69"/>
      <c r="H213" s="69"/>
      <c r="I213" s="47"/>
    </row>
    <row r="214" spans="1:10" s="1" customFormat="1" ht="13.5" customHeight="1">
      <c r="A214" s="1" t="s">
        <v>283</v>
      </c>
      <c r="B214" s="148" t="s">
        <v>212</v>
      </c>
      <c r="C214" s="69">
        <v>-20.6</v>
      </c>
      <c r="D214" s="69">
        <v>-9.5</v>
      </c>
      <c r="E214" s="69">
        <v>21.2</v>
      </c>
      <c r="F214" s="254">
        <v>11.4</v>
      </c>
      <c r="G214" s="69">
        <v>13.8</v>
      </c>
      <c r="H214" s="69">
        <v>16.8</v>
      </c>
      <c r="I214" s="47"/>
    </row>
    <row r="215" spans="1:10" s="1" customFormat="1" ht="13.5" customHeight="1">
      <c r="A215" s="1" t="s">
        <v>284</v>
      </c>
      <c r="B215" s="148"/>
      <c r="C215" s="147"/>
      <c r="D215" s="147"/>
      <c r="E215" s="147"/>
      <c r="F215" s="336"/>
      <c r="G215" s="147"/>
      <c r="H215" s="147"/>
      <c r="I215" s="47"/>
    </row>
    <row r="216" spans="1:10" s="1" customFormat="1" ht="13.5" customHeight="1">
      <c r="A216" s="1" t="s">
        <v>277</v>
      </c>
      <c r="B216" s="148"/>
      <c r="C216" s="147"/>
      <c r="D216" s="147"/>
      <c r="E216" s="147"/>
      <c r="F216" s="336"/>
      <c r="G216" s="147"/>
      <c r="H216" s="147"/>
      <c r="I216" s="47"/>
    </row>
    <row r="217" spans="1:10" s="1" customFormat="1" ht="7.5" customHeight="1">
      <c r="B217" s="148"/>
      <c r="C217" s="147"/>
      <c r="D217" s="147"/>
      <c r="E217" s="147"/>
      <c r="F217" s="336"/>
      <c r="G217" s="147"/>
      <c r="H217" s="147"/>
      <c r="I217" s="47"/>
    </row>
    <row r="218" spans="1:10" s="1" customFormat="1" ht="12.75" customHeight="1">
      <c r="A218" s="44" t="s">
        <v>543</v>
      </c>
      <c r="B218" s="341" t="s">
        <v>212</v>
      </c>
      <c r="C218" s="254">
        <v>423.5</v>
      </c>
      <c r="D218" s="254">
        <v>588</v>
      </c>
      <c r="E218" s="254">
        <v>589</v>
      </c>
      <c r="F218" s="254">
        <v>614</v>
      </c>
      <c r="G218" s="254">
        <v>634</v>
      </c>
      <c r="H218" s="254">
        <v>659</v>
      </c>
      <c r="I218" s="47"/>
      <c r="J218" s="69"/>
    </row>
    <row r="219" spans="1:10" s="1" customFormat="1" ht="12.75" customHeight="1">
      <c r="A219" s="342" t="s">
        <v>274</v>
      </c>
      <c r="B219" s="341"/>
      <c r="C219" s="254"/>
      <c r="D219" s="254"/>
      <c r="E219" s="254"/>
      <c r="F219" s="254"/>
      <c r="G219" s="254"/>
      <c r="H219" s="254"/>
      <c r="I219" s="47"/>
    </row>
    <row r="220" spans="1:10" s="1" customFormat="1">
      <c r="B220" s="148"/>
      <c r="C220" s="69"/>
      <c r="D220" s="69"/>
      <c r="E220" s="69"/>
      <c r="F220" s="254"/>
      <c r="G220" s="69"/>
      <c r="H220" s="69"/>
      <c r="I220" s="47"/>
    </row>
    <row r="221" spans="1:10" s="1" customFormat="1" ht="12.75" customHeight="1">
      <c r="A221" s="44" t="s">
        <v>285</v>
      </c>
      <c r="B221" s="341" t="s">
        <v>212</v>
      </c>
      <c r="C221" s="338">
        <v>160</v>
      </c>
      <c r="D221" s="338">
        <v>204</v>
      </c>
      <c r="E221" s="338">
        <v>194</v>
      </c>
      <c r="F221" s="338">
        <v>202</v>
      </c>
      <c r="G221" s="338">
        <v>209</v>
      </c>
      <c r="H221" s="338">
        <v>217</v>
      </c>
      <c r="I221" s="47"/>
    </row>
    <row r="222" spans="1:10" s="1" customFormat="1" ht="13.95" customHeight="1">
      <c r="A222" s="1" t="s">
        <v>55</v>
      </c>
      <c r="B222" s="148" t="s">
        <v>24</v>
      </c>
      <c r="C222" s="337">
        <v>95</v>
      </c>
      <c r="D222" s="337">
        <v>101</v>
      </c>
      <c r="E222" s="337">
        <v>110</v>
      </c>
      <c r="F222" s="338">
        <v>110</v>
      </c>
      <c r="G222" s="337">
        <v>110</v>
      </c>
      <c r="H222" s="337">
        <v>110</v>
      </c>
      <c r="I222" s="47"/>
    </row>
    <row r="223" spans="1:10" s="1" customFormat="1" ht="13.95" customHeight="1">
      <c r="A223" s="1" t="s">
        <v>56</v>
      </c>
      <c r="B223" s="148" t="s">
        <v>5</v>
      </c>
      <c r="C223" s="149">
        <v>1556.19</v>
      </c>
      <c r="D223" s="149">
        <v>1926.9</v>
      </c>
      <c r="E223" s="149">
        <v>1625.3</v>
      </c>
      <c r="F223" s="150">
        <v>1694.3</v>
      </c>
      <c r="G223" s="149">
        <v>1748.3</v>
      </c>
      <c r="H223" s="149">
        <v>1821.6</v>
      </c>
      <c r="I223" s="47"/>
    </row>
    <row r="224" spans="1:10" s="1" customFormat="1" ht="13.95" customHeight="1">
      <c r="A224" s="1" t="s">
        <v>57</v>
      </c>
      <c r="B224" s="148" t="s">
        <v>24</v>
      </c>
      <c r="C224" s="337">
        <v>4</v>
      </c>
      <c r="D224" s="337">
        <v>5</v>
      </c>
      <c r="E224" s="337">
        <v>5</v>
      </c>
      <c r="F224" s="338">
        <v>5</v>
      </c>
      <c r="G224" s="337">
        <v>5</v>
      </c>
      <c r="H224" s="337">
        <v>5</v>
      </c>
      <c r="I224" s="47"/>
    </row>
    <row r="225" spans="1:9" s="1" customFormat="1" ht="13.95" customHeight="1">
      <c r="A225" s="1" t="s">
        <v>56</v>
      </c>
      <c r="B225" s="148" t="s">
        <v>5</v>
      </c>
      <c r="C225" s="149">
        <v>3026.25</v>
      </c>
      <c r="D225" s="149">
        <v>1909.3</v>
      </c>
      <c r="E225" s="149">
        <v>3033.79</v>
      </c>
      <c r="F225" s="150">
        <v>3162.6</v>
      </c>
      <c r="G225" s="149">
        <v>3263.5</v>
      </c>
      <c r="H225" s="149">
        <v>3400.4</v>
      </c>
      <c r="I225" s="47"/>
    </row>
    <row r="226" spans="1:9" s="1" customFormat="1" ht="9" customHeight="1">
      <c r="B226" s="148"/>
      <c r="C226" s="147"/>
      <c r="D226" s="147"/>
      <c r="E226" s="147"/>
      <c r="F226" s="336"/>
      <c r="G226" s="147"/>
      <c r="H226" s="147"/>
      <c r="I226" s="47"/>
    </row>
    <row r="227" spans="1:9" s="1" customFormat="1" ht="12" customHeight="1">
      <c r="A227" s="44" t="s">
        <v>286</v>
      </c>
      <c r="B227" s="341" t="s">
        <v>212</v>
      </c>
      <c r="C227" s="254">
        <v>272</v>
      </c>
      <c r="D227" s="254">
        <v>378</v>
      </c>
      <c r="E227" s="254">
        <v>393</v>
      </c>
      <c r="F227" s="254">
        <v>410</v>
      </c>
      <c r="G227" s="254">
        <v>423</v>
      </c>
      <c r="H227" s="254">
        <v>440</v>
      </c>
      <c r="I227" s="47"/>
    </row>
    <row r="228" spans="1:9" s="1" customFormat="1" ht="13.95" customHeight="1">
      <c r="A228" s="1" t="s">
        <v>55</v>
      </c>
      <c r="B228" s="148" t="s">
        <v>24</v>
      </c>
      <c r="C228" s="337">
        <v>66</v>
      </c>
      <c r="D228" s="337">
        <v>89</v>
      </c>
      <c r="E228" s="337">
        <v>85</v>
      </c>
      <c r="F228" s="338">
        <v>85</v>
      </c>
      <c r="G228" s="337">
        <v>85</v>
      </c>
      <c r="H228" s="337">
        <v>85</v>
      </c>
      <c r="I228" s="47"/>
    </row>
    <row r="229" spans="1:9" s="1" customFormat="1" ht="13.95" customHeight="1">
      <c r="A229" s="1" t="s">
        <v>56</v>
      </c>
      <c r="B229" s="148" t="s">
        <v>5</v>
      </c>
      <c r="C229" s="149">
        <v>3216.92</v>
      </c>
      <c r="D229" s="149">
        <v>3536.8</v>
      </c>
      <c r="E229" s="149">
        <v>3575.54</v>
      </c>
      <c r="F229" s="150">
        <v>3727.3</v>
      </c>
      <c r="G229" s="149">
        <v>3846.3</v>
      </c>
      <c r="H229" s="149">
        <v>4007.6</v>
      </c>
      <c r="I229" s="47"/>
    </row>
    <row r="230" spans="1:9" s="1" customFormat="1" ht="13.95" customHeight="1">
      <c r="A230" s="1" t="s">
        <v>57</v>
      </c>
      <c r="B230" s="148" t="s">
        <v>24</v>
      </c>
      <c r="C230" s="337">
        <v>9</v>
      </c>
      <c r="D230" s="337">
        <v>10</v>
      </c>
      <c r="E230" s="337">
        <v>10</v>
      </c>
      <c r="F230" s="338">
        <v>10</v>
      </c>
      <c r="G230" s="337">
        <v>10</v>
      </c>
      <c r="H230" s="337">
        <v>10</v>
      </c>
      <c r="I230" s="47"/>
    </row>
    <row r="231" spans="1:9" s="1" customFormat="1" ht="13.95" customHeight="1">
      <c r="A231" s="1" t="s">
        <v>56</v>
      </c>
      <c r="B231" s="148" t="s">
        <v>5</v>
      </c>
      <c r="C231" s="149">
        <v>6639.33</v>
      </c>
      <c r="D231" s="149">
        <v>6333.7</v>
      </c>
      <c r="E231" s="149">
        <v>8905.9</v>
      </c>
      <c r="F231" s="150">
        <v>9284</v>
      </c>
      <c r="G231" s="149">
        <v>9580.2000000000007</v>
      </c>
      <c r="H231" s="149">
        <v>9982.1</v>
      </c>
      <c r="I231" s="47"/>
    </row>
    <row r="232" spans="1:9" s="1" customFormat="1" ht="13.95" customHeight="1">
      <c r="A232" s="1" t="s">
        <v>275</v>
      </c>
      <c r="B232" s="148" t="s">
        <v>212</v>
      </c>
      <c r="C232" s="337">
        <v>37.4</v>
      </c>
      <c r="D232" s="337">
        <v>43.6</v>
      </c>
      <c r="E232" s="337">
        <v>46.4</v>
      </c>
      <c r="F232" s="338">
        <v>47.9</v>
      </c>
      <c r="G232" s="337">
        <v>49.8</v>
      </c>
      <c r="H232" s="337">
        <v>52</v>
      </c>
      <c r="I232" s="47"/>
    </row>
    <row r="233" spans="1:9" s="1" customFormat="1" ht="13.95" customHeight="1">
      <c r="A233" s="1" t="s">
        <v>276</v>
      </c>
      <c r="B233" s="148"/>
      <c r="C233" s="149"/>
      <c r="D233" s="149"/>
      <c r="E233" s="149"/>
      <c r="F233" s="150"/>
      <c r="G233" s="149"/>
      <c r="H233" s="149"/>
      <c r="I233" s="47"/>
    </row>
    <row r="234" spans="1:9" s="1" customFormat="1" ht="13.95" customHeight="1">
      <c r="A234" s="1" t="s">
        <v>275</v>
      </c>
      <c r="B234" s="148" t="s">
        <v>212</v>
      </c>
      <c r="C234" s="337">
        <v>-8.5</v>
      </c>
      <c r="D234" s="337">
        <v>6.1</v>
      </c>
      <c r="E234" s="337">
        <v>2.8</v>
      </c>
      <c r="F234" s="338">
        <v>1.5</v>
      </c>
      <c r="G234" s="337">
        <v>1.8</v>
      </c>
      <c r="H234" s="337">
        <v>2.2999999999999998</v>
      </c>
      <c r="I234" s="47"/>
    </row>
    <row r="235" spans="1:9" s="1" customFormat="1" ht="13.95" customHeight="1">
      <c r="A235" s="1" t="s">
        <v>277</v>
      </c>
      <c r="B235" s="148"/>
      <c r="C235" s="149"/>
      <c r="D235" s="149"/>
      <c r="E235" s="149"/>
      <c r="F235" s="150"/>
      <c r="G235" s="149"/>
      <c r="H235" s="149"/>
      <c r="I235" s="47"/>
    </row>
    <row r="236" spans="1:9" s="1" customFormat="1" ht="10.5" customHeight="1">
      <c r="B236" s="148"/>
      <c r="C236" s="147"/>
      <c r="D236" s="147"/>
      <c r="E236" s="147"/>
      <c r="F236" s="151"/>
      <c r="G236" s="152"/>
      <c r="H236" s="152"/>
      <c r="I236" s="47"/>
    </row>
    <row r="237" spans="1:9" s="1" customFormat="1" ht="13.95" customHeight="1">
      <c r="A237" s="44" t="s">
        <v>544</v>
      </c>
      <c r="B237" s="341" t="s">
        <v>212</v>
      </c>
      <c r="C237" s="343">
        <v>14188</v>
      </c>
      <c r="D237" s="343">
        <v>15126</v>
      </c>
      <c r="E237" s="343">
        <v>16244</v>
      </c>
      <c r="F237" s="343">
        <v>16832</v>
      </c>
      <c r="G237" s="343">
        <v>17507</v>
      </c>
      <c r="H237" s="343">
        <v>18329</v>
      </c>
      <c r="I237" s="47"/>
    </row>
    <row r="238" spans="1:9" s="44" customFormat="1" ht="14.25" customHeight="1">
      <c r="A238" s="1" t="s">
        <v>58</v>
      </c>
      <c r="B238" s="148" t="s">
        <v>24</v>
      </c>
      <c r="C238" s="337">
        <v>6386</v>
      </c>
      <c r="D238" s="337">
        <v>6388</v>
      </c>
      <c r="E238" s="337">
        <v>6410</v>
      </c>
      <c r="F238" s="338">
        <v>6430</v>
      </c>
      <c r="G238" s="337">
        <v>6440</v>
      </c>
      <c r="H238" s="337">
        <v>6450</v>
      </c>
      <c r="I238" s="48"/>
    </row>
    <row r="239" spans="1:9" s="1" customFormat="1" ht="13.95" customHeight="1">
      <c r="A239" s="1" t="s">
        <v>59</v>
      </c>
      <c r="B239" s="148" t="s">
        <v>2</v>
      </c>
      <c r="C239" s="344">
        <v>69396</v>
      </c>
      <c r="D239" s="344">
        <v>69934</v>
      </c>
      <c r="E239" s="344">
        <v>70510</v>
      </c>
      <c r="F239" s="345">
        <v>70730</v>
      </c>
      <c r="G239" s="344">
        <v>70840</v>
      </c>
      <c r="H239" s="344">
        <v>70950</v>
      </c>
      <c r="I239" s="47"/>
    </row>
    <row r="240" spans="1:9" s="1" customFormat="1" ht="13.95" customHeight="1">
      <c r="A240" s="1" t="s">
        <v>60</v>
      </c>
      <c r="B240" s="148" t="s">
        <v>5</v>
      </c>
      <c r="C240" s="149">
        <v>204.45</v>
      </c>
      <c r="D240" s="149">
        <v>216.29</v>
      </c>
      <c r="E240" s="149">
        <v>230.4</v>
      </c>
      <c r="F240" s="150">
        <v>238</v>
      </c>
      <c r="G240" s="149">
        <v>247.1</v>
      </c>
      <c r="H240" s="149">
        <v>258.3</v>
      </c>
      <c r="I240" s="47"/>
    </row>
    <row r="241" spans="1:9" s="1" customFormat="1" ht="9" customHeight="1">
      <c r="B241" s="148"/>
      <c r="C241" s="147"/>
      <c r="D241" s="147"/>
      <c r="E241" s="147"/>
      <c r="F241" s="336"/>
      <c r="G241" s="147"/>
      <c r="H241" s="147"/>
      <c r="I241" s="47"/>
    </row>
    <row r="242" spans="1:9" s="1" customFormat="1" ht="13.95" customHeight="1">
      <c r="A242" s="44" t="s">
        <v>545</v>
      </c>
      <c r="B242" s="341" t="s">
        <v>212</v>
      </c>
      <c r="C242" s="343">
        <v>1877</v>
      </c>
      <c r="D242" s="343">
        <v>1855</v>
      </c>
      <c r="E242" s="343">
        <v>2231</v>
      </c>
      <c r="F242" s="343">
        <v>2295</v>
      </c>
      <c r="G242" s="343">
        <v>2386</v>
      </c>
      <c r="H242" s="343">
        <v>2496</v>
      </c>
      <c r="I242" s="47"/>
    </row>
    <row r="243" spans="1:9" s="1" customFormat="1" ht="13.95" customHeight="1">
      <c r="A243" s="44" t="s">
        <v>546</v>
      </c>
      <c r="B243" s="341"/>
      <c r="C243" s="343"/>
      <c r="D243" s="343"/>
      <c r="E243" s="343"/>
      <c r="F243" s="343"/>
      <c r="G243" s="343"/>
      <c r="H243" s="343"/>
      <c r="I243" s="47"/>
    </row>
    <row r="244" spans="1:9" s="1" customFormat="1" ht="9.75" customHeight="1">
      <c r="A244" s="44"/>
      <c r="B244" s="341"/>
      <c r="C244" s="343"/>
      <c r="D244" s="343"/>
      <c r="E244" s="343"/>
      <c r="F244" s="343"/>
      <c r="G244" s="343"/>
      <c r="H244" s="343"/>
      <c r="I244" s="47"/>
    </row>
    <row r="245" spans="1:9" s="1" customFormat="1" ht="13.95" customHeight="1">
      <c r="A245" s="1" t="s">
        <v>61</v>
      </c>
      <c r="B245" s="148" t="s">
        <v>24</v>
      </c>
      <c r="C245" s="337">
        <v>37</v>
      </c>
      <c r="D245" s="337">
        <v>40</v>
      </c>
      <c r="E245" s="337">
        <v>43</v>
      </c>
      <c r="F245" s="338">
        <v>43</v>
      </c>
      <c r="G245" s="337">
        <v>43</v>
      </c>
      <c r="H245" s="337">
        <v>43</v>
      </c>
      <c r="I245" s="47"/>
    </row>
    <row r="246" spans="1:9" s="1" customFormat="1" ht="13.95" customHeight="1">
      <c r="A246" s="1" t="s">
        <v>62</v>
      </c>
      <c r="B246" s="148" t="s">
        <v>5</v>
      </c>
      <c r="C246" s="149">
        <v>47503.7</v>
      </c>
      <c r="D246" s="149">
        <v>46584.1</v>
      </c>
      <c r="E246" s="149">
        <v>51417.3</v>
      </c>
      <c r="F246" s="150">
        <v>53111.7</v>
      </c>
      <c r="G246" s="149">
        <v>55156.2</v>
      </c>
      <c r="H246" s="149">
        <v>57655</v>
      </c>
      <c r="I246" s="47"/>
    </row>
    <row r="247" spans="1:9" s="1" customFormat="1" ht="13.95" customHeight="1">
      <c r="A247" s="1" t="s">
        <v>278</v>
      </c>
      <c r="B247" s="148" t="s">
        <v>212</v>
      </c>
      <c r="C247" s="337">
        <v>331.9</v>
      </c>
      <c r="D247" s="337">
        <v>324</v>
      </c>
      <c r="E247" s="337">
        <v>345</v>
      </c>
      <c r="F247" s="338">
        <v>356</v>
      </c>
      <c r="G247" s="337">
        <v>370</v>
      </c>
      <c r="H247" s="337">
        <v>387</v>
      </c>
      <c r="I247" s="47"/>
    </row>
    <row r="248" spans="1:9" s="1" customFormat="1" ht="13.95" customHeight="1">
      <c r="A248" s="1" t="s">
        <v>279</v>
      </c>
      <c r="B248" s="148"/>
      <c r="C248" s="149"/>
      <c r="D248" s="149"/>
      <c r="E248" s="149"/>
      <c r="F248" s="149"/>
      <c r="G248" s="149"/>
      <c r="H248" s="149"/>
      <c r="I248" s="47"/>
    </row>
    <row r="249" spans="1:9" s="1" customFormat="1" ht="13.95" customHeight="1">
      <c r="A249" s="1" t="s">
        <v>278</v>
      </c>
      <c r="B249" s="148" t="s">
        <v>212</v>
      </c>
      <c r="C249" s="337">
        <v>118.9</v>
      </c>
      <c r="D249" s="337">
        <v>-8.3000000000000007</v>
      </c>
      <c r="E249" s="337">
        <v>21.1</v>
      </c>
      <c r="F249" s="338">
        <v>11.4</v>
      </c>
      <c r="G249" s="337">
        <v>13.7</v>
      </c>
      <c r="H249" s="337">
        <v>16.7</v>
      </c>
      <c r="I249" s="47"/>
    </row>
    <row r="250" spans="1:9" s="1" customFormat="1">
      <c r="A250" s="1" t="s">
        <v>280</v>
      </c>
      <c r="B250" s="148"/>
      <c r="C250" s="147"/>
      <c r="D250" s="147"/>
      <c r="E250" s="147"/>
      <c r="F250" s="336"/>
      <c r="G250" s="147"/>
      <c r="H250" s="147"/>
      <c r="I250" s="47"/>
    </row>
    <row r="251" spans="1:9" s="121" customFormat="1" ht="7.5" customHeight="1">
      <c r="A251" s="248"/>
      <c r="B251" s="243"/>
      <c r="C251" s="253"/>
      <c r="D251" s="253"/>
      <c r="E251" s="253"/>
      <c r="F251" s="253"/>
      <c r="G251" s="253"/>
      <c r="H251" s="31"/>
      <c r="I251" s="144"/>
    </row>
    <row r="252" spans="1:9" s="1" customFormat="1" ht="13.95" customHeight="1">
      <c r="A252" s="44" t="s">
        <v>547</v>
      </c>
      <c r="B252" s="341" t="s">
        <v>212</v>
      </c>
      <c r="C252" s="254">
        <v>478</v>
      </c>
      <c r="D252" s="254">
        <v>435</v>
      </c>
      <c r="E252" s="254">
        <v>407</v>
      </c>
      <c r="F252" s="254">
        <v>395</v>
      </c>
      <c r="G252" s="254">
        <v>391</v>
      </c>
      <c r="H252" s="254">
        <v>396</v>
      </c>
      <c r="I252" s="47"/>
    </row>
    <row r="253" spans="1:9" s="1" customFormat="1" ht="13.95" customHeight="1">
      <c r="A253" s="1" t="s">
        <v>63</v>
      </c>
      <c r="B253" s="148" t="s">
        <v>24</v>
      </c>
      <c r="C253" s="344">
        <v>402</v>
      </c>
      <c r="D253" s="344">
        <v>363</v>
      </c>
      <c r="E253" s="337">
        <v>340</v>
      </c>
      <c r="F253" s="338">
        <v>320</v>
      </c>
      <c r="G253" s="337">
        <v>305</v>
      </c>
      <c r="H253" s="337">
        <v>295</v>
      </c>
      <c r="I253" s="47"/>
    </row>
    <row r="254" spans="1:9" s="1" customFormat="1" ht="13.95" customHeight="1">
      <c r="A254" s="1" t="s">
        <v>64</v>
      </c>
      <c r="B254" s="148" t="s">
        <v>2</v>
      </c>
      <c r="C254" s="344">
        <v>3072</v>
      </c>
      <c r="D254" s="344">
        <v>2325</v>
      </c>
      <c r="E254" s="344">
        <v>2040</v>
      </c>
      <c r="F254" s="345">
        <v>1920</v>
      </c>
      <c r="G254" s="344">
        <v>1830</v>
      </c>
      <c r="H254" s="344">
        <v>1770</v>
      </c>
      <c r="I254" s="47"/>
    </row>
    <row r="255" spans="1:9" s="1" customFormat="1" ht="13.95" customHeight="1">
      <c r="A255" s="1" t="s">
        <v>60</v>
      </c>
      <c r="B255" s="148" t="s">
        <v>5</v>
      </c>
      <c r="C255" s="149">
        <v>155.5</v>
      </c>
      <c r="D255" s="149">
        <v>187.12</v>
      </c>
      <c r="E255" s="149">
        <v>199.3</v>
      </c>
      <c r="F255" s="150">
        <v>205.9</v>
      </c>
      <c r="G255" s="149">
        <v>213.8</v>
      </c>
      <c r="H255" s="149">
        <v>223.5</v>
      </c>
      <c r="I255" s="47"/>
    </row>
    <row r="256" spans="1:9" s="1" customFormat="1" ht="15.75" customHeight="1">
      <c r="B256" s="148"/>
      <c r="C256" s="149"/>
      <c r="D256" s="149"/>
      <c r="E256" s="149"/>
      <c r="F256" s="150"/>
      <c r="G256" s="149"/>
      <c r="H256" s="149"/>
      <c r="I256" s="47"/>
    </row>
    <row r="257" spans="1:9" s="121" customFormat="1" ht="15" customHeight="1">
      <c r="A257" s="241"/>
      <c r="B257" s="243"/>
      <c r="C257" s="249"/>
      <c r="D257" s="249"/>
      <c r="E257" s="249"/>
      <c r="F257" s="249"/>
      <c r="G257" s="249"/>
      <c r="H257" s="31" t="s">
        <v>19</v>
      </c>
      <c r="I257" s="144"/>
    </row>
    <row r="258" spans="1:9" s="121" customFormat="1" ht="17.25" customHeight="1">
      <c r="A258" s="248"/>
      <c r="B258" s="243"/>
      <c r="C258" s="253"/>
      <c r="D258" s="253"/>
      <c r="E258" s="253"/>
      <c r="F258" s="253"/>
      <c r="G258" s="253"/>
      <c r="H258" s="31" t="s">
        <v>0</v>
      </c>
      <c r="I258" s="144"/>
    </row>
    <row r="259" spans="1:9" ht="21" customHeight="1">
      <c r="A259" s="274"/>
      <c r="B259" s="418" t="s">
        <v>1</v>
      </c>
      <c r="C259" s="416" t="s">
        <v>345</v>
      </c>
      <c r="D259" s="416" t="s">
        <v>401</v>
      </c>
      <c r="E259" s="416" t="s">
        <v>402</v>
      </c>
      <c r="F259" s="414" t="s">
        <v>403</v>
      </c>
      <c r="G259" s="416" t="s">
        <v>346</v>
      </c>
      <c r="H259" s="416" t="s">
        <v>404</v>
      </c>
    </row>
    <row r="260" spans="1:9" ht="14.25" customHeight="1">
      <c r="A260" s="275"/>
      <c r="B260" s="419" t="s">
        <v>2</v>
      </c>
      <c r="C260" s="420"/>
      <c r="D260" s="420"/>
      <c r="E260" s="420"/>
      <c r="F260" s="415"/>
      <c r="G260" s="417"/>
      <c r="H260" s="417"/>
    </row>
    <row r="261" spans="1:9" s="1" customFormat="1">
      <c r="B261" s="148"/>
      <c r="C261" s="147"/>
      <c r="D261" s="147"/>
      <c r="E261" s="69"/>
      <c r="F261" s="151"/>
      <c r="G261" s="152"/>
      <c r="H261" s="152"/>
      <c r="I261" s="47"/>
    </row>
    <row r="262" spans="1:9" ht="13.8">
      <c r="A262" s="196" t="s">
        <v>327</v>
      </c>
      <c r="B262" s="40" t="s">
        <v>212</v>
      </c>
      <c r="C262" s="346">
        <v>192387</v>
      </c>
      <c r="D262" s="346">
        <v>2832</v>
      </c>
      <c r="E262" s="197" t="s">
        <v>213</v>
      </c>
      <c r="F262" s="197" t="s">
        <v>213</v>
      </c>
      <c r="G262" s="197" t="s">
        <v>213</v>
      </c>
      <c r="H262" s="197" t="s">
        <v>213</v>
      </c>
      <c r="I262" s="67"/>
    </row>
    <row r="263" spans="1:9" ht="17.25" customHeight="1">
      <c r="A263" s="70" t="s">
        <v>139</v>
      </c>
      <c r="B263" s="36"/>
    </row>
    <row r="264" spans="1:9" ht="13.5" customHeight="1">
      <c r="A264" s="49"/>
      <c r="B264" s="40"/>
      <c r="C264" s="255"/>
      <c r="D264" s="255"/>
      <c r="E264" s="255"/>
      <c r="F264" s="255"/>
      <c r="G264" s="255"/>
      <c r="H264" s="255"/>
      <c r="I264" s="67"/>
    </row>
    <row r="265" spans="1:9" ht="13.8">
      <c r="A265" s="70" t="s">
        <v>138</v>
      </c>
      <c r="B265" s="40" t="s">
        <v>212</v>
      </c>
      <c r="C265" s="346">
        <v>8956</v>
      </c>
      <c r="D265" s="346">
        <v>1706</v>
      </c>
      <c r="E265" s="346">
        <v>20000</v>
      </c>
      <c r="F265" s="346">
        <v>8000</v>
      </c>
      <c r="G265" s="346">
        <v>8000</v>
      </c>
      <c r="H265" s="346">
        <v>8000</v>
      </c>
      <c r="I265" s="67"/>
    </row>
    <row r="266" spans="1:9" ht="14.25" customHeight="1">
      <c r="A266" s="70" t="s">
        <v>139</v>
      </c>
      <c r="B266" s="36"/>
    </row>
    <row r="267" spans="1:9" ht="9.75" customHeight="1">
      <c r="A267" s="4"/>
      <c r="B267" s="5"/>
      <c r="C267" s="6"/>
      <c r="D267" s="6"/>
      <c r="E267" s="6"/>
      <c r="F267" s="7"/>
      <c r="G267" s="6"/>
      <c r="H267" s="6"/>
    </row>
    <row r="268" spans="1:9" ht="15.6">
      <c r="A268" s="8" t="s">
        <v>4</v>
      </c>
      <c r="B268" s="9" t="s">
        <v>212</v>
      </c>
      <c r="C268" s="347">
        <f t="shared" ref="C268:D268" si="44">C276+C292+C294</f>
        <v>74614</v>
      </c>
      <c r="D268" s="347">
        <f t="shared" si="44"/>
        <v>75834</v>
      </c>
      <c r="E268" s="347">
        <f>E276+E292+E294</f>
        <v>88740</v>
      </c>
      <c r="F268" s="347">
        <f t="shared" ref="F268:H268" si="45">F276+F292+F294</f>
        <v>95153</v>
      </c>
      <c r="G268" s="347">
        <f t="shared" si="45"/>
        <v>97769</v>
      </c>
      <c r="H268" s="347">
        <f t="shared" si="45"/>
        <v>100636</v>
      </c>
    </row>
    <row r="269" spans="1:9" s="12" customFormat="1" ht="10.5" customHeight="1">
      <c r="A269" s="10"/>
      <c r="B269" s="11"/>
      <c r="C269" s="153"/>
      <c r="D269" s="153"/>
      <c r="E269" s="153"/>
      <c r="F269" s="348"/>
      <c r="G269" s="153"/>
      <c r="H269" s="153"/>
    </row>
    <row r="270" spans="1:9" ht="13.5" customHeight="1">
      <c r="A270" s="13" t="s">
        <v>6</v>
      </c>
      <c r="B270" s="9" t="s">
        <v>212</v>
      </c>
      <c r="C270" s="349">
        <f t="shared" ref="C270" si="46">C268-C272-C273-C274</f>
        <v>63105</v>
      </c>
      <c r="D270" s="349">
        <f t="shared" ref="D270:G270" si="47">D268-D272-D273-D274</f>
        <v>65878</v>
      </c>
      <c r="E270" s="349">
        <f t="shared" si="47"/>
        <v>77020</v>
      </c>
      <c r="F270" s="349">
        <f t="shared" si="47"/>
        <v>80753</v>
      </c>
      <c r="G270" s="349">
        <f t="shared" si="47"/>
        <v>82769</v>
      </c>
      <c r="H270" s="349">
        <f>H268-H272-H273-H274</f>
        <v>84836</v>
      </c>
    </row>
    <row r="271" spans="1:9" ht="15.75" customHeight="1">
      <c r="A271" s="13"/>
      <c r="B271" s="9"/>
      <c r="C271" s="153"/>
      <c r="D271" s="153"/>
      <c r="E271" s="153"/>
      <c r="F271" s="153"/>
      <c r="G271" s="153"/>
      <c r="H271" s="153"/>
    </row>
    <row r="272" spans="1:9" ht="15" customHeight="1">
      <c r="A272" s="14" t="s">
        <v>7</v>
      </c>
      <c r="B272" s="15" t="s">
        <v>212</v>
      </c>
      <c r="C272" s="154">
        <f>C290</f>
        <v>7506</v>
      </c>
      <c r="D272" s="154">
        <f>D290</f>
        <v>6201</v>
      </c>
      <c r="E272" s="154">
        <f t="shared" ref="E272:H272" si="48">E290</f>
        <v>6600</v>
      </c>
      <c r="F272" s="350">
        <f t="shared" si="48"/>
        <v>7100</v>
      </c>
      <c r="G272" s="154">
        <f t="shared" si="48"/>
        <v>7500</v>
      </c>
      <c r="H272" s="154">
        <f t="shared" si="48"/>
        <v>7800</v>
      </c>
    </row>
    <row r="273" spans="1:9" ht="15" customHeight="1">
      <c r="A273" s="14" t="s">
        <v>8</v>
      </c>
      <c r="B273" s="15" t="s">
        <v>212</v>
      </c>
      <c r="C273" s="351">
        <f>C292</f>
        <v>4003</v>
      </c>
      <c r="D273" s="351">
        <f>D292</f>
        <v>3222</v>
      </c>
      <c r="E273" s="351">
        <f t="shared" ref="E273:H273" si="49">E292</f>
        <v>4500</v>
      </c>
      <c r="F273" s="155">
        <f t="shared" si="49"/>
        <v>4600</v>
      </c>
      <c r="G273" s="351">
        <f t="shared" si="49"/>
        <v>4600</v>
      </c>
      <c r="H273" s="351">
        <f t="shared" si="49"/>
        <v>4600</v>
      </c>
    </row>
    <row r="274" spans="1:9" ht="15" customHeight="1">
      <c r="A274" s="14" t="s">
        <v>135</v>
      </c>
      <c r="B274" s="15" t="s">
        <v>212</v>
      </c>
      <c r="C274" s="154">
        <f t="shared" ref="C274" si="50">C296</f>
        <v>0</v>
      </c>
      <c r="D274" s="154">
        <f t="shared" ref="D274:H274" si="51">D296</f>
        <v>533</v>
      </c>
      <c r="E274" s="154">
        <f t="shared" si="51"/>
        <v>620</v>
      </c>
      <c r="F274" s="350">
        <f t="shared" si="51"/>
        <v>2700</v>
      </c>
      <c r="G274" s="154">
        <f t="shared" si="51"/>
        <v>2900</v>
      </c>
      <c r="H274" s="154">
        <f t="shared" si="51"/>
        <v>3400</v>
      </c>
    </row>
    <row r="275" spans="1:9">
      <c r="A275" s="16"/>
      <c r="B275" s="9"/>
      <c r="C275" s="17"/>
      <c r="D275" s="17"/>
      <c r="E275" s="17"/>
      <c r="F275" s="18"/>
      <c r="G275" s="17"/>
      <c r="H275" s="17"/>
    </row>
    <row r="276" spans="1:9" s="2" customFormat="1" ht="15.75" customHeight="1">
      <c r="A276" s="19" t="s">
        <v>328</v>
      </c>
      <c r="B276" s="9" t="s">
        <v>212</v>
      </c>
      <c r="C276" s="347">
        <f>C282+C284+C286</f>
        <v>70297</v>
      </c>
      <c r="D276" s="347">
        <f>D282+D284+D286</f>
        <v>70011</v>
      </c>
      <c r="E276" s="347">
        <f>E282+E284+E286</f>
        <v>83498</v>
      </c>
      <c r="F276" s="347">
        <f t="shared" ref="F276:G276" si="52">F282+F284+F286</f>
        <v>87731</v>
      </c>
      <c r="G276" s="347">
        <f t="shared" si="52"/>
        <v>90146</v>
      </c>
      <c r="H276" s="347">
        <f>H282+H284+H286</f>
        <v>92513</v>
      </c>
    </row>
    <row r="277" spans="1:9" ht="12.75" customHeight="1">
      <c r="A277" s="20" t="s">
        <v>329</v>
      </c>
      <c r="B277" s="21"/>
      <c r="C277" s="156"/>
      <c r="D277" s="156"/>
      <c r="E277" s="156"/>
      <c r="F277" s="352"/>
      <c r="G277" s="156"/>
      <c r="H277" s="156"/>
    </row>
    <row r="278" spans="1:9" ht="25.5" customHeight="1">
      <c r="A278" s="22" t="s">
        <v>9</v>
      </c>
      <c r="B278" s="9" t="s">
        <v>212</v>
      </c>
      <c r="C278" s="347">
        <f>C276-C290</f>
        <v>62791</v>
      </c>
      <c r="D278" s="347">
        <f>D276-D290</f>
        <v>63810</v>
      </c>
      <c r="E278" s="347">
        <f>E276-E290</f>
        <v>76898</v>
      </c>
      <c r="F278" s="347">
        <f t="shared" ref="F278:H278" si="53">F276-F290</f>
        <v>80631</v>
      </c>
      <c r="G278" s="347">
        <f t="shared" si="53"/>
        <v>82646</v>
      </c>
      <c r="H278" s="347">
        <f t="shared" si="53"/>
        <v>84713</v>
      </c>
    </row>
    <row r="279" spans="1:9" ht="12" customHeight="1">
      <c r="A279" s="23"/>
      <c r="B279" s="21"/>
      <c r="C279" s="157"/>
      <c r="D279" s="157"/>
      <c r="E279" s="157"/>
      <c r="F279" s="157"/>
      <c r="G279" s="157"/>
      <c r="H279" s="157"/>
    </row>
    <row r="280" spans="1:9" ht="12.75" customHeight="1">
      <c r="A280" s="14" t="s">
        <v>7</v>
      </c>
      <c r="B280" s="15" t="s">
        <v>212</v>
      </c>
      <c r="C280" s="154">
        <f t="shared" ref="C280" si="54">C290</f>
        <v>7506</v>
      </c>
      <c r="D280" s="154">
        <f t="shared" ref="D280:H280" si="55">D290</f>
        <v>6201</v>
      </c>
      <c r="E280" s="154">
        <f t="shared" si="55"/>
        <v>6600</v>
      </c>
      <c r="F280" s="350">
        <f t="shared" si="55"/>
        <v>7100</v>
      </c>
      <c r="G280" s="154">
        <f t="shared" si="55"/>
        <v>7500</v>
      </c>
      <c r="H280" s="154">
        <f t="shared" si="55"/>
        <v>7800</v>
      </c>
    </row>
    <row r="281" spans="1:9" ht="11.25" customHeight="1">
      <c r="A281" s="24"/>
      <c r="B281" s="21"/>
      <c r="C281" s="158"/>
      <c r="D281" s="158"/>
      <c r="E281" s="158"/>
      <c r="F281" s="347"/>
      <c r="G281" s="158"/>
      <c r="H281" s="158"/>
    </row>
    <row r="282" spans="1:9" s="2" customFormat="1" ht="13.5" customHeight="1">
      <c r="A282" s="23" t="s">
        <v>10</v>
      </c>
      <c r="B282" s="9" t="s">
        <v>212</v>
      </c>
      <c r="C282" s="159">
        <v>38321</v>
      </c>
      <c r="D282" s="159">
        <v>53974</v>
      </c>
      <c r="E282" s="159">
        <v>60757</v>
      </c>
      <c r="F282" s="159">
        <v>64086</v>
      </c>
      <c r="G282" s="159">
        <v>65688</v>
      </c>
      <c r="H282" s="159">
        <v>67330</v>
      </c>
    </row>
    <row r="283" spans="1:9" s="2" customFormat="1" ht="12" customHeight="1">
      <c r="A283" s="23"/>
      <c r="B283" s="21"/>
      <c r="C283" s="159"/>
      <c r="D283" s="159"/>
      <c r="E283" s="350"/>
      <c r="F283" s="353"/>
      <c r="G283" s="353"/>
      <c r="H283" s="353"/>
    </row>
    <row r="284" spans="1:9" s="2" customFormat="1" ht="13.5" customHeight="1">
      <c r="A284" s="23" t="s">
        <v>11</v>
      </c>
      <c r="B284" s="9" t="s">
        <v>212</v>
      </c>
      <c r="C284" s="159">
        <v>11683</v>
      </c>
      <c r="D284" s="159">
        <v>634</v>
      </c>
      <c r="E284" s="159">
        <v>893</v>
      </c>
      <c r="F284" s="159">
        <v>929</v>
      </c>
      <c r="G284" s="159">
        <v>952</v>
      </c>
      <c r="H284" s="159">
        <v>976</v>
      </c>
    </row>
    <row r="285" spans="1:9" s="2" customFormat="1" ht="11.25" customHeight="1">
      <c r="A285" s="23"/>
      <c r="B285" s="21"/>
      <c r="C285" s="160"/>
      <c r="D285" s="160"/>
      <c r="E285" s="160"/>
      <c r="F285" s="160"/>
      <c r="G285" s="160"/>
      <c r="H285" s="160"/>
    </row>
    <row r="286" spans="1:9" s="2" customFormat="1" ht="26.25" customHeight="1">
      <c r="A286" s="19" t="s">
        <v>12</v>
      </c>
      <c r="B286" s="9" t="s">
        <v>212</v>
      </c>
      <c r="C286" s="350">
        <v>20293</v>
      </c>
      <c r="D286" s="350">
        <v>15403</v>
      </c>
      <c r="E286" s="350">
        <v>21848</v>
      </c>
      <c r="F286" s="350">
        <v>22716</v>
      </c>
      <c r="G286" s="350">
        <v>23506</v>
      </c>
      <c r="H286" s="350">
        <v>24207</v>
      </c>
      <c r="I286" s="3"/>
    </row>
    <row r="287" spans="1:9" ht="9.75" customHeight="1">
      <c r="A287" s="23"/>
      <c r="B287" s="25"/>
      <c r="C287" s="161"/>
      <c r="D287" s="161"/>
      <c r="E287" s="154"/>
      <c r="F287" s="350"/>
      <c r="G287" s="354"/>
      <c r="H287" s="354"/>
    </row>
    <row r="288" spans="1:9" ht="25.5" customHeight="1">
      <c r="A288" s="19" t="s">
        <v>13</v>
      </c>
      <c r="B288" s="9" t="s">
        <v>212</v>
      </c>
      <c r="C288" s="350">
        <f t="shared" ref="C288" si="56">C286-C290</f>
        <v>12787</v>
      </c>
      <c r="D288" s="350">
        <f t="shared" ref="D288:H288" si="57">D286-D290</f>
        <v>9202</v>
      </c>
      <c r="E288" s="350">
        <f>E286-E290</f>
        <v>15248</v>
      </c>
      <c r="F288" s="350">
        <f>F286-F290</f>
        <v>15616</v>
      </c>
      <c r="G288" s="350">
        <f>G286-G290</f>
        <v>16006</v>
      </c>
      <c r="H288" s="350">
        <f t="shared" si="57"/>
        <v>16407</v>
      </c>
    </row>
    <row r="289" spans="1:8" ht="6" customHeight="1">
      <c r="A289" s="23"/>
      <c r="B289" s="21"/>
      <c r="C289" s="161"/>
      <c r="D289" s="161"/>
      <c r="E289" s="161"/>
      <c r="F289" s="161"/>
      <c r="G289" s="161"/>
      <c r="H289" s="161"/>
    </row>
    <row r="290" spans="1:8" ht="13.5" customHeight="1">
      <c r="A290" s="14" t="s">
        <v>7</v>
      </c>
      <c r="B290" s="15" t="s">
        <v>212</v>
      </c>
      <c r="C290" s="154">
        <v>7506</v>
      </c>
      <c r="D290" s="154">
        <v>6201</v>
      </c>
      <c r="E290" s="154">
        <v>6600</v>
      </c>
      <c r="F290" s="350">
        <v>7100</v>
      </c>
      <c r="G290" s="154">
        <v>7500</v>
      </c>
      <c r="H290" s="154">
        <v>7800</v>
      </c>
    </row>
    <row r="291" spans="1:8" ht="6.75" customHeight="1">
      <c r="A291" s="14"/>
      <c r="B291" s="9"/>
      <c r="C291" s="154"/>
      <c r="D291" s="154"/>
      <c r="E291" s="154"/>
      <c r="F291" s="350"/>
      <c r="G291" s="354"/>
      <c r="H291" s="354"/>
    </row>
    <row r="292" spans="1:8" s="2" customFormat="1" ht="12" customHeight="1">
      <c r="A292" s="19" t="s">
        <v>376</v>
      </c>
      <c r="B292" s="9" t="s">
        <v>212</v>
      </c>
      <c r="C292" s="155">
        <v>4003</v>
      </c>
      <c r="D292" s="155">
        <v>3222</v>
      </c>
      <c r="E292" s="155">
        <v>4500</v>
      </c>
      <c r="F292" s="155">
        <v>4600</v>
      </c>
      <c r="G292" s="155">
        <v>4600</v>
      </c>
      <c r="H292" s="155">
        <v>4600</v>
      </c>
    </row>
    <row r="293" spans="1:8" ht="7.5" customHeight="1">
      <c r="A293" s="19"/>
      <c r="B293" s="21"/>
      <c r="C293" s="154"/>
      <c r="D293" s="154"/>
      <c r="E293" s="154"/>
      <c r="F293" s="350"/>
      <c r="G293" s="354"/>
      <c r="H293" s="354"/>
    </row>
    <row r="294" spans="1:8" ht="12.75" customHeight="1">
      <c r="A294" s="26" t="s">
        <v>14</v>
      </c>
      <c r="B294" s="9" t="s">
        <v>212</v>
      </c>
      <c r="C294" s="155">
        <f>C296+C297+C298</f>
        <v>314</v>
      </c>
      <c r="D294" s="155">
        <f>D296+D297+D298</f>
        <v>2601</v>
      </c>
      <c r="E294" s="155">
        <f>E296+E297+E298</f>
        <v>742</v>
      </c>
      <c r="F294" s="155">
        <f>F296+F297+F298</f>
        <v>2822</v>
      </c>
      <c r="G294" s="155">
        <f t="shared" ref="G294:H294" si="58">G296+G297+G298</f>
        <v>3023</v>
      </c>
      <c r="H294" s="155">
        <f t="shared" si="58"/>
        <v>3523</v>
      </c>
    </row>
    <row r="295" spans="1:8" ht="9" customHeight="1">
      <c r="A295" s="27"/>
      <c r="B295" s="21"/>
      <c r="C295" s="155"/>
      <c r="D295" s="155"/>
      <c r="E295" s="155"/>
      <c r="F295" s="155"/>
      <c r="G295" s="162"/>
      <c r="H295" s="162"/>
    </row>
    <row r="296" spans="1:8" ht="13.5" customHeight="1">
      <c r="A296" s="26" t="s">
        <v>15</v>
      </c>
      <c r="B296" s="15" t="s">
        <v>212</v>
      </c>
      <c r="C296" s="154">
        <v>0</v>
      </c>
      <c r="D296" s="154">
        <v>533</v>
      </c>
      <c r="E296" s="154">
        <v>620</v>
      </c>
      <c r="F296" s="350">
        <v>2700</v>
      </c>
      <c r="G296" s="154">
        <v>2900</v>
      </c>
      <c r="H296" s="154">
        <v>3400</v>
      </c>
    </row>
    <row r="297" spans="1:8" ht="25.5" customHeight="1">
      <c r="A297" s="26" t="s">
        <v>16</v>
      </c>
      <c r="B297" s="15" t="s">
        <v>212</v>
      </c>
      <c r="C297" s="154">
        <v>71</v>
      </c>
      <c r="D297" s="154">
        <v>111</v>
      </c>
      <c r="E297" s="154">
        <v>120</v>
      </c>
      <c r="F297" s="350">
        <v>120</v>
      </c>
      <c r="G297" s="154">
        <v>120</v>
      </c>
      <c r="H297" s="154">
        <v>120</v>
      </c>
    </row>
    <row r="298" spans="1:8" ht="14.25" customHeight="1">
      <c r="A298" s="26" t="s">
        <v>17</v>
      </c>
      <c r="B298" s="15" t="s">
        <v>212</v>
      </c>
      <c r="C298" s="154">
        <v>243</v>
      </c>
      <c r="D298" s="154">
        <v>1957</v>
      </c>
      <c r="E298" s="154">
        <v>2</v>
      </c>
      <c r="F298" s="350">
        <v>2</v>
      </c>
      <c r="G298" s="154">
        <v>3</v>
      </c>
      <c r="H298" s="154">
        <v>3</v>
      </c>
    </row>
    <row r="299" spans="1:8">
      <c r="A299" s="20"/>
      <c r="B299" s="28"/>
      <c r="C299" s="29"/>
      <c r="D299" s="29"/>
      <c r="E299" s="30"/>
      <c r="F299" s="30"/>
      <c r="G299" s="31"/>
      <c r="H299" s="31"/>
    </row>
    <row r="300" spans="1:8" ht="21" customHeight="1">
      <c r="A300" s="32" t="s">
        <v>18</v>
      </c>
      <c r="B300" s="33" t="s">
        <v>212</v>
      </c>
      <c r="C300" s="211">
        <f>C268+C265+C262+C191+C180+C135+C115+C19</f>
        <v>4082218</v>
      </c>
      <c r="D300" s="211">
        <f>D268+D265+D262+D191+D180+D135+D115+D19-1</f>
        <v>4154062</v>
      </c>
      <c r="E300" s="211">
        <f>E268+E265+E191+E180+E135+E115+E19</f>
        <v>4817661.0999999996</v>
      </c>
      <c r="F300" s="211">
        <f>F268+F265+F191+F180+F135+F115+F19</f>
        <v>5009398</v>
      </c>
      <c r="G300" s="211">
        <f>G268+G265+G191+G180+G135+G115+G19</f>
        <v>5175772.0999999996</v>
      </c>
      <c r="H300" s="211">
        <f t="shared" ref="H300" si="59">H268+H265+H191+H180+H135+H115+H19</f>
        <v>5417017.0999999996</v>
      </c>
    </row>
    <row r="301" spans="1:8">
      <c r="B301" s="36"/>
      <c r="G301" s="38"/>
    </row>
    <row r="302" spans="1:8">
      <c r="B302" s="36"/>
    </row>
    <row r="303" spans="1:8">
      <c r="B303" s="36"/>
    </row>
    <row r="304" spans="1:8">
      <c r="B304" s="36"/>
    </row>
    <row r="305" spans="1:9">
      <c r="B305" s="36"/>
    </row>
    <row r="306" spans="1:9">
      <c r="B306" s="36"/>
    </row>
    <row r="307" spans="1:9" ht="6" customHeight="1">
      <c r="B307" s="36"/>
    </row>
    <row r="308" spans="1:9" ht="14.25" customHeight="1">
      <c r="B308" s="36"/>
    </row>
    <row r="309" spans="1:9" ht="6" customHeight="1">
      <c r="B309" s="36"/>
    </row>
    <row r="310" spans="1:9" ht="26.25" customHeight="1">
      <c r="B310" s="36"/>
    </row>
    <row r="311" spans="1:9" ht="6" customHeight="1">
      <c r="B311" s="36"/>
    </row>
    <row r="312" spans="1:9" ht="12" customHeight="1">
      <c r="B312" s="36"/>
    </row>
    <row r="313" spans="1:9" s="2" customFormat="1" ht="12" customHeight="1">
      <c r="A313" s="3"/>
      <c r="B313" s="36"/>
      <c r="G313" s="3"/>
      <c r="H313" s="3"/>
      <c r="I313" s="3"/>
    </row>
    <row r="314" spans="1:9" s="2" customFormat="1" ht="12" customHeight="1">
      <c r="A314" s="3"/>
      <c r="B314" s="36"/>
      <c r="G314" s="3"/>
      <c r="H314" s="3"/>
      <c r="I314" s="3"/>
    </row>
    <row r="315" spans="1:9" s="2" customFormat="1" ht="6.75" customHeight="1">
      <c r="A315" s="3"/>
      <c r="B315" s="36"/>
      <c r="G315" s="3"/>
      <c r="H315" s="3"/>
      <c r="I315" s="3"/>
    </row>
    <row r="316" spans="1:9" s="2" customFormat="1" ht="6.75" customHeight="1">
      <c r="A316" s="3"/>
      <c r="B316" s="36"/>
      <c r="G316" s="3"/>
      <c r="H316" s="3"/>
      <c r="I316" s="3"/>
    </row>
    <row r="317" spans="1:9" s="2" customFormat="1" ht="36" customHeight="1">
      <c r="A317" s="3"/>
      <c r="B317" s="36"/>
      <c r="G317" s="3"/>
      <c r="H317" s="3"/>
      <c r="I317" s="3"/>
    </row>
    <row r="318" spans="1:9" s="2" customFormat="1" ht="7.5" customHeight="1">
      <c r="A318" s="3"/>
      <c r="B318" s="36"/>
      <c r="G318" s="3"/>
      <c r="H318" s="3"/>
      <c r="I318" s="3"/>
    </row>
    <row r="319" spans="1:9" s="2" customFormat="1" ht="12" customHeight="1">
      <c r="A319" s="3"/>
      <c r="B319" s="36"/>
      <c r="G319" s="3"/>
      <c r="H319" s="3"/>
      <c r="I319" s="3"/>
    </row>
    <row r="320" spans="1:9" s="2" customFormat="1" ht="12" customHeight="1">
      <c r="A320" s="3"/>
      <c r="B320" s="36"/>
      <c r="G320" s="3"/>
      <c r="H320" s="3"/>
      <c r="I320" s="3"/>
    </row>
    <row r="321" spans="1:9" s="2" customFormat="1" ht="12" customHeight="1">
      <c r="A321" s="3"/>
      <c r="B321" s="36"/>
      <c r="G321" s="3"/>
      <c r="H321" s="3"/>
      <c r="I321" s="3"/>
    </row>
    <row r="322" spans="1:9" s="2" customFormat="1" ht="6.75" customHeight="1">
      <c r="A322" s="3"/>
      <c r="B322" s="36"/>
      <c r="G322" s="3"/>
      <c r="H322" s="3"/>
      <c r="I322" s="3"/>
    </row>
    <row r="323" spans="1:9" s="2" customFormat="1">
      <c r="A323" s="3"/>
      <c r="B323" s="36"/>
      <c r="G323" s="3"/>
      <c r="H323" s="3"/>
      <c r="I323" s="3"/>
    </row>
    <row r="324" spans="1:9" s="2" customFormat="1" ht="5.25" customHeight="1">
      <c r="A324" s="3"/>
      <c r="B324" s="36"/>
      <c r="G324" s="3"/>
      <c r="H324" s="3"/>
      <c r="I324" s="3"/>
    </row>
  </sheetData>
  <mergeCells count="30">
    <mergeCell ref="H93:H94"/>
    <mergeCell ref="B259:B260"/>
    <mergeCell ref="C259:C260"/>
    <mergeCell ref="D259:D260"/>
    <mergeCell ref="E259:E260"/>
    <mergeCell ref="F259:F260"/>
    <mergeCell ref="G259:G260"/>
    <mergeCell ref="H259:H260"/>
    <mergeCell ref="E177:E178"/>
    <mergeCell ref="H177:H178"/>
    <mergeCell ref="B177:B178"/>
    <mergeCell ref="C177:C178"/>
    <mergeCell ref="D177:D178"/>
    <mergeCell ref="F177:F178"/>
    <mergeCell ref="G177:G178"/>
    <mergeCell ref="E93:E94"/>
    <mergeCell ref="H5:H6"/>
    <mergeCell ref="A2:G2"/>
    <mergeCell ref="A3:G3"/>
    <mergeCell ref="B5:B6"/>
    <mergeCell ref="C5:C6"/>
    <mergeCell ref="D5:D6"/>
    <mergeCell ref="E5:E6"/>
    <mergeCell ref="F5:F6"/>
    <mergeCell ref="G5:G6"/>
    <mergeCell ref="F93:F94"/>
    <mergeCell ref="G93:G94"/>
    <mergeCell ref="B93:B94"/>
    <mergeCell ref="C93:C94"/>
    <mergeCell ref="D93:D94"/>
  </mergeCells>
  <pageMargins left="0.62992125984251968" right="0.23622047244094491" top="0.23622047244094491" bottom="0.19685039370078741" header="0.27559055118110237"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2"/>
  <sheetViews>
    <sheetView zoomScaleNormal="100" workbookViewId="0">
      <pane xSplit="1" ySplit="7" topLeftCell="B8" activePane="bottomRight" state="frozen"/>
      <selection activeCell="A59" sqref="A59"/>
      <selection pane="topRight" activeCell="A59" sqref="A59"/>
      <selection pane="bottomLeft" activeCell="A59" sqref="A59"/>
      <selection pane="bottomRight" activeCell="A120" sqref="A1:E120"/>
    </sheetView>
  </sheetViews>
  <sheetFormatPr defaultRowHeight="13.2"/>
  <cols>
    <col min="1" max="1" width="74.88671875" style="64" customWidth="1"/>
    <col min="2" max="2" width="13.44140625" style="71" customWidth="1"/>
    <col min="3" max="3" width="11" style="72" customWidth="1"/>
    <col min="4" max="4" width="13.33203125" style="73" customWidth="1"/>
    <col min="5" max="5" width="11.6640625" style="64" customWidth="1"/>
    <col min="6" max="233" width="9.109375" style="64"/>
    <col min="234" max="242" width="0" style="64" hidden="1" customWidth="1"/>
    <col min="243" max="243" width="74.44140625" style="64" customWidth="1"/>
    <col min="244" max="250" width="0" style="64" hidden="1" customWidth="1"/>
    <col min="251" max="251" width="0.109375" style="64" customWidth="1"/>
    <col min="252" max="252" width="0" style="64" hidden="1" customWidth="1"/>
    <col min="253" max="253" width="13.88671875" style="64" customWidth="1"/>
    <col min="254" max="254" width="14.6640625" style="64" customWidth="1"/>
    <col min="255" max="255" width="14" style="64" customWidth="1"/>
    <col min="256" max="256" width="14.44140625" style="64" customWidth="1"/>
    <col min="257" max="489" width="9.109375" style="64"/>
    <col min="490" max="498" width="0" style="64" hidden="1" customWidth="1"/>
    <col min="499" max="499" width="74.44140625" style="64" customWidth="1"/>
    <col min="500" max="506" width="0" style="64" hidden="1" customWidth="1"/>
    <col min="507" max="507" width="0.109375" style="64" customWidth="1"/>
    <col min="508" max="508" width="0" style="64" hidden="1" customWidth="1"/>
    <col min="509" max="509" width="13.88671875" style="64" customWidth="1"/>
    <col min="510" max="510" width="14.6640625" style="64" customWidth="1"/>
    <col min="511" max="511" width="14" style="64" customWidth="1"/>
    <col min="512" max="512" width="14.44140625" style="64" customWidth="1"/>
    <col min="513" max="745" width="9.109375" style="64"/>
    <col min="746" max="754" width="0" style="64" hidden="1" customWidth="1"/>
    <col min="755" max="755" width="74.44140625" style="64" customWidth="1"/>
    <col min="756" max="762" width="0" style="64" hidden="1" customWidth="1"/>
    <col min="763" max="763" width="0.109375" style="64" customWidth="1"/>
    <col min="764" max="764" width="0" style="64" hidden="1" customWidth="1"/>
    <col min="765" max="765" width="13.88671875" style="64" customWidth="1"/>
    <col min="766" max="766" width="14.6640625" style="64" customWidth="1"/>
    <col min="767" max="767" width="14" style="64" customWidth="1"/>
    <col min="768" max="768" width="14.44140625" style="64" customWidth="1"/>
    <col min="769" max="1001" width="9.109375" style="64"/>
    <col min="1002" max="1010" width="0" style="64" hidden="1" customWidth="1"/>
    <col min="1011" max="1011" width="74.44140625" style="64" customWidth="1"/>
    <col min="1012" max="1018" width="0" style="64" hidden="1" customWidth="1"/>
    <col min="1019" max="1019" width="0.109375" style="64" customWidth="1"/>
    <col min="1020" max="1020" width="0" style="64" hidden="1" customWidth="1"/>
    <col min="1021" max="1021" width="13.88671875" style="64" customWidth="1"/>
    <col min="1022" max="1022" width="14.6640625" style="64" customWidth="1"/>
    <col min="1023" max="1023" width="14" style="64" customWidth="1"/>
    <col min="1024" max="1024" width="14.44140625" style="64" customWidth="1"/>
    <col min="1025" max="1257" width="9.109375" style="64"/>
    <col min="1258" max="1266" width="0" style="64" hidden="1" customWidth="1"/>
    <col min="1267" max="1267" width="74.44140625" style="64" customWidth="1"/>
    <col min="1268" max="1274" width="0" style="64" hidden="1" customWidth="1"/>
    <col min="1275" max="1275" width="0.109375" style="64" customWidth="1"/>
    <col min="1276" max="1276" width="0" style="64" hidden="1" customWidth="1"/>
    <col min="1277" max="1277" width="13.88671875" style="64" customWidth="1"/>
    <col min="1278" max="1278" width="14.6640625" style="64" customWidth="1"/>
    <col min="1279" max="1279" width="14" style="64" customWidth="1"/>
    <col min="1280" max="1280" width="14.44140625" style="64" customWidth="1"/>
    <col min="1281" max="1513" width="9.109375" style="64"/>
    <col min="1514" max="1522" width="0" style="64" hidden="1" customWidth="1"/>
    <col min="1523" max="1523" width="74.44140625" style="64" customWidth="1"/>
    <col min="1524" max="1530" width="0" style="64" hidden="1" customWidth="1"/>
    <col min="1531" max="1531" width="0.109375" style="64" customWidth="1"/>
    <col min="1532" max="1532" width="0" style="64" hidden="1" customWidth="1"/>
    <col min="1533" max="1533" width="13.88671875" style="64" customWidth="1"/>
    <col min="1534" max="1534" width="14.6640625" style="64" customWidth="1"/>
    <col min="1535" max="1535" width="14" style="64" customWidth="1"/>
    <col min="1536" max="1536" width="14.44140625" style="64" customWidth="1"/>
    <col min="1537" max="1769" width="9.109375" style="64"/>
    <col min="1770" max="1778" width="0" style="64" hidden="1" customWidth="1"/>
    <col min="1779" max="1779" width="74.44140625" style="64" customWidth="1"/>
    <col min="1780" max="1786" width="0" style="64" hidden="1" customWidth="1"/>
    <col min="1787" max="1787" width="0.109375" style="64" customWidth="1"/>
    <col min="1788" max="1788" width="0" style="64" hidden="1" customWidth="1"/>
    <col min="1789" max="1789" width="13.88671875" style="64" customWidth="1"/>
    <col min="1790" max="1790" width="14.6640625" style="64" customWidth="1"/>
    <col min="1791" max="1791" width="14" style="64" customWidth="1"/>
    <col min="1792" max="1792" width="14.44140625" style="64" customWidth="1"/>
    <col min="1793" max="2025" width="9.109375" style="64"/>
    <col min="2026" max="2034" width="0" style="64" hidden="1" customWidth="1"/>
    <col min="2035" max="2035" width="74.44140625" style="64" customWidth="1"/>
    <col min="2036" max="2042" width="0" style="64" hidden="1" customWidth="1"/>
    <col min="2043" max="2043" width="0.109375" style="64" customWidth="1"/>
    <col min="2044" max="2044" width="0" style="64" hidden="1" customWidth="1"/>
    <col min="2045" max="2045" width="13.88671875" style="64" customWidth="1"/>
    <col min="2046" max="2046" width="14.6640625" style="64" customWidth="1"/>
    <col min="2047" max="2047" width="14" style="64" customWidth="1"/>
    <col min="2048" max="2048" width="14.44140625" style="64" customWidth="1"/>
    <col min="2049" max="2281" width="9.109375" style="64"/>
    <col min="2282" max="2290" width="0" style="64" hidden="1" customWidth="1"/>
    <col min="2291" max="2291" width="74.44140625" style="64" customWidth="1"/>
    <col min="2292" max="2298" width="0" style="64" hidden="1" customWidth="1"/>
    <col min="2299" max="2299" width="0.109375" style="64" customWidth="1"/>
    <col min="2300" max="2300" width="0" style="64" hidden="1" customWidth="1"/>
    <col min="2301" max="2301" width="13.88671875" style="64" customWidth="1"/>
    <col min="2302" max="2302" width="14.6640625" style="64" customWidth="1"/>
    <col min="2303" max="2303" width="14" style="64" customWidth="1"/>
    <col min="2304" max="2304" width="14.44140625" style="64" customWidth="1"/>
    <col min="2305" max="2537" width="9.109375" style="64"/>
    <col min="2538" max="2546" width="0" style="64" hidden="1" customWidth="1"/>
    <col min="2547" max="2547" width="74.44140625" style="64" customWidth="1"/>
    <col min="2548" max="2554" width="0" style="64" hidden="1" customWidth="1"/>
    <col min="2555" max="2555" width="0.109375" style="64" customWidth="1"/>
    <col min="2556" max="2556" width="0" style="64" hidden="1" customWidth="1"/>
    <col min="2557" max="2557" width="13.88671875" style="64" customWidth="1"/>
    <col min="2558" max="2558" width="14.6640625" style="64" customWidth="1"/>
    <col min="2559" max="2559" width="14" style="64" customWidth="1"/>
    <col min="2560" max="2560" width="14.44140625" style="64" customWidth="1"/>
    <col min="2561" max="2793" width="9.109375" style="64"/>
    <col min="2794" max="2802" width="0" style="64" hidden="1" customWidth="1"/>
    <col min="2803" max="2803" width="74.44140625" style="64" customWidth="1"/>
    <col min="2804" max="2810" width="0" style="64" hidden="1" customWidth="1"/>
    <col min="2811" max="2811" width="0.109375" style="64" customWidth="1"/>
    <col min="2812" max="2812" width="0" style="64" hidden="1" customWidth="1"/>
    <col min="2813" max="2813" width="13.88671875" style="64" customWidth="1"/>
    <col min="2814" max="2814" width="14.6640625" style="64" customWidth="1"/>
    <col min="2815" max="2815" width="14" style="64" customWidth="1"/>
    <col min="2816" max="2816" width="14.44140625" style="64" customWidth="1"/>
    <col min="2817" max="3049" width="9.109375" style="64"/>
    <col min="3050" max="3058" width="0" style="64" hidden="1" customWidth="1"/>
    <col min="3059" max="3059" width="74.44140625" style="64" customWidth="1"/>
    <col min="3060" max="3066" width="0" style="64" hidden="1" customWidth="1"/>
    <col min="3067" max="3067" width="0.109375" style="64" customWidth="1"/>
    <col min="3068" max="3068" width="0" style="64" hidden="1" customWidth="1"/>
    <col min="3069" max="3069" width="13.88671875" style="64" customWidth="1"/>
    <col min="3070" max="3070" width="14.6640625" style="64" customWidth="1"/>
    <col min="3071" max="3071" width="14" style="64" customWidth="1"/>
    <col min="3072" max="3072" width="14.44140625" style="64" customWidth="1"/>
    <col min="3073" max="3305" width="9.109375" style="64"/>
    <col min="3306" max="3314" width="0" style="64" hidden="1" customWidth="1"/>
    <col min="3315" max="3315" width="74.44140625" style="64" customWidth="1"/>
    <col min="3316" max="3322" width="0" style="64" hidden="1" customWidth="1"/>
    <col min="3323" max="3323" width="0.109375" style="64" customWidth="1"/>
    <col min="3324" max="3324" width="0" style="64" hidden="1" customWidth="1"/>
    <col min="3325" max="3325" width="13.88671875" style="64" customWidth="1"/>
    <col min="3326" max="3326" width="14.6640625" style="64" customWidth="1"/>
    <col min="3327" max="3327" width="14" style="64" customWidth="1"/>
    <col min="3328" max="3328" width="14.44140625" style="64" customWidth="1"/>
    <col min="3329" max="3561" width="9.109375" style="64"/>
    <col min="3562" max="3570" width="0" style="64" hidden="1" customWidth="1"/>
    <col min="3571" max="3571" width="74.44140625" style="64" customWidth="1"/>
    <col min="3572" max="3578" width="0" style="64" hidden="1" customWidth="1"/>
    <col min="3579" max="3579" width="0.109375" style="64" customWidth="1"/>
    <col min="3580" max="3580" width="0" style="64" hidden="1" customWidth="1"/>
    <col min="3581" max="3581" width="13.88671875" style="64" customWidth="1"/>
    <col min="3582" max="3582" width="14.6640625" style="64" customWidth="1"/>
    <col min="3583" max="3583" width="14" style="64" customWidth="1"/>
    <col min="3584" max="3584" width="14.44140625" style="64" customWidth="1"/>
    <col min="3585" max="3817" width="9.109375" style="64"/>
    <col min="3818" max="3826" width="0" style="64" hidden="1" customWidth="1"/>
    <col min="3827" max="3827" width="74.44140625" style="64" customWidth="1"/>
    <col min="3828" max="3834" width="0" style="64" hidden="1" customWidth="1"/>
    <col min="3835" max="3835" width="0.109375" style="64" customWidth="1"/>
    <col min="3836" max="3836" width="0" style="64" hidden="1" customWidth="1"/>
    <col min="3837" max="3837" width="13.88671875" style="64" customWidth="1"/>
    <col min="3838" max="3838" width="14.6640625" style="64" customWidth="1"/>
    <col min="3839" max="3839" width="14" style="64" customWidth="1"/>
    <col min="3840" max="3840" width="14.44140625" style="64" customWidth="1"/>
    <col min="3841" max="4073" width="9.109375" style="64"/>
    <col min="4074" max="4082" width="0" style="64" hidden="1" customWidth="1"/>
    <col min="4083" max="4083" width="74.44140625" style="64" customWidth="1"/>
    <col min="4084" max="4090" width="0" style="64" hidden="1" customWidth="1"/>
    <col min="4091" max="4091" width="0.109375" style="64" customWidth="1"/>
    <col min="4092" max="4092" width="0" style="64" hidden="1" customWidth="1"/>
    <col min="4093" max="4093" width="13.88671875" style="64" customWidth="1"/>
    <col min="4094" max="4094" width="14.6640625" style="64" customWidth="1"/>
    <col min="4095" max="4095" width="14" style="64" customWidth="1"/>
    <col min="4096" max="4096" width="14.44140625" style="64" customWidth="1"/>
    <col min="4097" max="4329" width="9.109375" style="64"/>
    <col min="4330" max="4338" width="0" style="64" hidden="1" customWidth="1"/>
    <col min="4339" max="4339" width="74.44140625" style="64" customWidth="1"/>
    <col min="4340" max="4346" width="0" style="64" hidden="1" customWidth="1"/>
    <col min="4347" max="4347" width="0.109375" style="64" customWidth="1"/>
    <col min="4348" max="4348" width="0" style="64" hidden="1" customWidth="1"/>
    <col min="4349" max="4349" width="13.88671875" style="64" customWidth="1"/>
    <col min="4350" max="4350" width="14.6640625" style="64" customWidth="1"/>
    <col min="4351" max="4351" width="14" style="64" customWidth="1"/>
    <col min="4352" max="4352" width="14.44140625" style="64" customWidth="1"/>
    <col min="4353" max="4585" width="9.109375" style="64"/>
    <col min="4586" max="4594" width="0" style="64" hidden="1" customWidth="1"/>
    <col min="4595" max="4595" width="74.44140625" style="64" customWidth="1"/>
    <col min="4596" max="4602" width="0" style="64" hidden="1" customWidth="1"/>
    <col min="4603" max="4603" width="0.109375" style="64" customWidth="1"/>
    <col min="4604" max="4604" width="0" style="64" hidden="1" customWidth="1"/>
    <col min="4605" max="4605" width="13.88671875" style="64" customWidth="1"/>
    <col min="4606" max="4606" width="14.6640625" style="64" customWidth="1"/>
    <col min="4607" max="4607" width="14" style="64" customWidth="1"/>
    <col min="4608" max="4608" width="14.44140625" style="64" customWidth="1"/>
    <col min="4609" max="4841" width="9.109375" style="64"/>
    <col min="4842" max="4850" width="0" style="64" hidden="1" customWidth="1"/>
    <col min="4851" max="4851" width="74.44140625" style="64" customWidth="1"/>
    <col min="4852" max="4858" width="0" style="64" hidden="1" customWidth="1"/>
    <col min="4859" max="4859" width="0.109375" style="64" customWidth="1"/>
    <col min="4860" max="4860" width="0" style="64" hidden="1" customWidth="1"/>
    <col min="4861" max="4861" width="13.88671875" style="64" customWidth="1"/>
    <col min="4862" max="4862" width="14.6640625" style="64" customWidth="1"/>
    <col min="4863" max="4863" width="14" style="64" customWidth="1"/>
    <col min="4864" max="4864" width="14.44140625" style="64" customWidth="1"/>
    <col min="4865" max="5097" width="9.109375" style="64"/>
    <col min="5098" max="5106" width="0" style="64" hidden="1" customWidth="1"/>
    <col min="5107" max="5107" width="74.44140625" style="64" customWidth="1"/>
    <col min="5108" max="5114" width="0" style="64" hidden="1" customWidth="1"/>
    <col min="5115" max="5115" width="0.109375" style="64" customWidth="1"/>
    <col min="5116" max="5116" width="0" style="64" hidden="1" customWidth="1"/>
    <col min="5117" max="5117" width="13.88671875" style="64" customWidth="1"/>
    <col min="5118" max="5118" width="14.6640625" style="64" customWidth="1"/>
    <col min="5119" max="5119" width="14" style="64" customWidth="1"/>
    <col min="5120" max="5120" width="14.44140625" style="64" customWidth="1"/>
    <col min="5121" max="5353" width="9.109375" style="64"/>
    <col min="5354" max="5362" width="0" style="64" hidden="1" customWidth="1"/>
    <col min="5363" max="5363" width="74.44140625" style="64" customWidth="1"/>
    <col min="5364" max="5370" width="0" style="64" hidden="1" customWidth="1"/>
    <col min="5371" max="5371" width="0.109375" style="64" customWidth="1"/>
    <col min="5372" max="5372" width="0" style="64" hidden="1" customWidth="1"/>
    <col min="5373" max="5373" width="13.88671875" style="64" customWidth="1"/>
    <col min="5374" max="5374" width="14.6640625" style="64" customWidth="1"/>
    <col min="5375" max="5375" width="14" style="64" customWidth="1"/>
    <col min="5376" max="5376" width="14.44140625" style="64" customWidth="1"/>
    <col min="5377" max="5609" width="9.109375" style="64"/>
    <col min="5610" max="5618" width="0" style="64" hidden="1" customWidth="1"/>
    <col min="5619" max="5619" width="74.44140625" style="64" customWidth="1"/>
    <col min="5620" max="5626" width="0" style="64" hidden="1" customWidth="1"/>
    <col min="5627" max="5627" width="0.109375" style="64" customWidth="1"/>
    <col min="5628" max="5628" width="0" style="64" hidden="1" customWidth="1"/>
    <col min="5629" max="5629" width="13.88671875" style="64" customWidth="1"/>
    <col min="5630" max="5630" width="14.6640625" style="64" customWidth="1"/>
    <col min="5631" max="5631" width="14" style="64" customWidth="1"/>
    <col min="5632" max="5632" width="14.44140625" style="64" customWidth="1"/>
    <col min="5633" max="5865" width="9.109375" style="64"/>
    <col min="5866" max="5874" width="0" style="64" hidden="1" customWidth="1"/>
    <col min="5875" max="5875" width="74.44140625" style="64" customWidth="1"/>
    <col min="5876" max="5882" width="0" style="64" hidden="1" customWidth="1"/>
    <col min="5883" max="5883" width="0.109375" style="64" customWidth="1"/>
    <col min="5884" max="5884" width="0" style="64" hidden="1" customWidth="1"/>
    <col min="5885" max="5885" width="13.88671875" style="64" customWidth="1"/>
    <col min="5886" max="5886" width="14.6640625" style="64" customWidth="1"/>
    <col min="5887" max="5887" width="14" style="64" customWidth="1"/>
    <col min="5888" max="5888" width="14.44140625" style="64" customWidth="1"/>
    <col min="5889" max="6121" width="9.109375" style="64"/>
    <col min="6122" max="6130" width="0" style="64" hidden="1" customWidth="1"/>
    <col min="6131" max="6131" width="74.44140625" style="64" customWidth="1"/>
    <col min="6132" max="6138" width="0" style="64" hidden="1" customWidth="1"/>
    <col min="6139" max="6139" width="0.109375" style="64" customWidth="1"/>
    <col min="6140" max="6140" width="0" style="64" hidden="1" customWidth="1"/>
    <col min="6141" max="6141" width="13.88671875" style="64" customWidth="1"/>
    <col min="6142" max="6142" width="14.6640625" style="64" customWidth="1"/>
    <col min="6143" max="6143" width="14" style="64" customWidth="1"/>
    <col min="6144" max="6144" width="14.44140625" style="64" customWidth="1"/>
    <col min="6145" max="6377" width="9.109375" style="64"/>
    <col min="6378" max="6386" width="0" style="64" hidden="1" customWidth="1"/>
    <col min="6387" max="6387" width="74.44140625" style="64" customWidth="1"/>
    <col min="6388" max="6394" width="0" style="64" hidden="1" customWidth="1"/>
    <col min="6395" max="6395" width="0.109375" style="64" customWidth="1"/>
    <col min="6396" max="6396" width="0" style="64" hidden="1" customWidth="1"/>
    <col min="6397" max="6397" width="13.88671875" style="64" customWidth="1"/>
    <col min="6398" max="6398" width="14.6640625" style="64" customWidth="1"/>
    <col min="6399" max="6399" width="14" style="64" customWidth="1"/>
    <col min="6400" max="6400" width="14.44140625" style="64" customWidth="1"/>
    <col min="6401" max="6633" width="9.109375" style="64"/>
    <col min="6634" max="6642" width="0" style="64" hidden="1" customWidth="1"/>
    <col min="6643" max="6643" width="74.44140625" style="64" customWidth="1"/>
    <col min="6644" max="6650" width="0" style="64" hidden="1" customWidth="1"/>
    <col min="6651" max="6651" width="0.109375" style="64" customWidth="1"/>
    <col min="6652" max="6652" width="0" style="64" hidden="1" customWidth="1"/>
    <col min="6653" max="6653" width="13.88671875" style="64" customWidth="1"/>
    <col min="6654" max="6654" width="14.6640625" style="64" customWidth="1"/>
    <col min="6655" max="6655" width="14" style="64" customWidth="1"/>
    <col min="6656" max="6656" width="14.44140625" style="64" customWidth="1"/>
    <col min="6657" max="6889" width="9.109375" style="64"/>
    <col min="6890" max="6898" width="0" style="64" hidden="1" customWidth="1"/>
    <col min="6899" max="6899" width="74.44140625" style="64" customWidth="1"/>
    <col min="6900" max="6906" width="0" style="64" hidden="1" customWidth="1"/>
    <col min="6907" max="6907" width="0.109375" style="64" customWidth="1"/>
    <col min="6908" max="6908" width="0" style="64" hidden="1" customWidth="1"/>
    <col min="6909" max="6909" width="13.88671875" style="64" customWidth="1"/>
    <col min="6910" max="6910" width="14.6640625" style="64" customWidth="1"/>
    <col min="6911" max="6911" width="14" style="64" customWidth="1"/>
    <col min="6912" max="6912" width="14.44140625" style="64" customWidth="1"/>
    <col min="6913" max="7145" width="9.109375" style="64"/>
    <col min="7146" max="7154" width="0" style="64" hidden="1" customWidth="1"/>
    <col min="7155" max="7155" width="74.44140625" style="64" customWidth="1"/>
    <col min="7156" max="7162" width="0" style="64" hidden="1" customWidth="1"/>
    <col min="7163" max="7163" width="0.109375" style="64" customWidth="1"/>
    <col min="7164" max="7164" width="0" style="64" hidden="1" customWidth="1"/>
    <col min="7165" max="7165" width="13.88671875" style="64" customWidth="1"/>
    <col min="7166" max="7166" width="14.6640625" style="64" customWidth="1"/>
    <col min="7167" max="7167" width="14" style="64" customWidth="1"/>
    <col min="7168" max="7168" width="14.44140625" style="64" customWidth="1"/>
    <col min="7169" max="7401" width="9.109375" style="64"/>
    <col min="7402" max="7410" width="0" style="64" hidden="1" customWidth="1"/>
    <col min="7411" max="7411" width="74.44140625" style="64" customWidth="1"/>
    <col min="7412" max="7418" width="0" style="64" hidden="1" customWidth="1"/>
    <col min="7419" max="7419" width="0.109375" style="64" customWidth="1"/>
    <col min="7420" max="7420" width="0" style="64" hidden="1" customWidth="1"/>
    <col min="7421" max="7421" width="13.88671875" style="64" customWidth="1"/>
    <col min="7422" max="7422" width="14.6640625" style="64" customWidth="1"/>
    <col min="7423" max="7423" width="14" style="64" customWidth="1"/>
    <col min="7424" max="7424" width="14.44140625" style="64" customWidth="1"/>
    <col min="7425" max="7657" width="9.109375" style="64"/>
    <col min="7658" max="7666" width="0" style="64" hidden="1" customWidth="1"/>
    <col min="7667" max="7667" width="74.44140625" style="64" customWidth="1"/>
    <col min="7668" max="7674" width="0" style="64" hidden="1" customWidth="1"/>
    <col min="7675" max="7675" width="0.109375" style="64" customWidth="1"/>
    <col min="7676" max="7676" width="0" style="64" hidden="1" customWidth="1"/>
    <col min="7677" max="7677" width="13.88671875" style="64" customWidth="1"/>
    <col min="7678" max="7678" width="14.6640625" style="64" customWidth="1"/>
    <col min="7679" max="7679" width="14" style="64" customWidth="1"/>
    <col min="7680" max="7680" width="14.44140625" style="64" customWidth="1"/>
    <col min="7681" max="7913" width="9.109375" style="64"/>
    <col min="7914" max="7922" width="0" style="64" hidden="1" customWidth="1"/>
    <col min="7923" max="7923" width="74.44140625" style="64" customWidth="1"/>
    <col min="7924" max="7930" width="0" style="64" hidden="1" customWidth="1"/>
    <col min="7931" max="7931" width="0.109375" style="64" customWidth="1"/>
    <col min="7932" max="7932" width="0" style="64" hidden="1" customWidth="1"/>
    <col min="7933" max="7933" width="13.88671875" style="64" customWidth="1"/>
    <col min="7934" max="7934" width="14.6640625" style="64" customWidth="1"/>
    <col min="7935" max="7935" width="14" style="64" customWidth="1"/>
    <col min="7936" max="7936" width="14.44140625" style="64" customWidth="1"/>
    <col min="7937" max="8169" width="9.109375" style="64"/>
    <col min="8170" max="8178" width="0" style="64" hidden="1" customWidth="1"/>
    <col min="8179" max="8179" width="74.44140625" style="64" customWidth="1"/>
    <col min="8180" max="8186" width="0" style="64" hidden="1" customWidth="1"/>
    <col min="8187" max="8187" width="0.109375" style="64" customWidth="1"/>
    <col min="8188" max="8188" width="0" style="64" hidden="1" customWidth="1"/>
    <col min="8189" max="8189" width="13.88671875" style="64" customWidth="1"/>
    <col min="8190" max="8190" width="14.6640625" style="64" customWidth="1"/>
    <col min="8191" max="8191" width="14" style="64" customWidth="1"/>
    <col min="8192" max="8192" width="14.44140625" style="64" customWidth="1"/>
    <col min="8193" max="8425" width="9.109375" style="64"/>
    <col min="8426" max="8434" width="0" style="64" hidden="1" customWidth="1"/>
    <col min="8435" max="8435" width="74.44140625" style="64" customWidth="1"/>
    <col min="8436" max="8442" width="0" style="64" hidden="1" customWidth="1"/>
    <col min="8443" max="8443" width="0.109375" style="64" customWidth="1"/>
    <col min="8444" max="8444" width="0" style="64" hidden="1" customWidth="1"/>
    <col min="8445" max="8445" width="13.88671875" style="64" customWidth="1"/>
    <col min="8446" max="8446" width="14.6640625" style="64" customWidth="1"/>
    <col min="8447" max="8447" width="14" style="64" customWidth="1"/>
    <col min="8448" max="8448" width="14.44140625" style="64" customWidth="1"/>
    <col min="8449" max="8681" width="9.109375" style="64"/>
    <col min="8682" max="8690" width="0" style="64" hidden="1" customWidth="1"/>
    <col min="8691" max="8691" width="74.44140625" style="64" customWidth="1"/>
    <col min="8692" max="8698" width="0" style="64" hidden="1" customWidth="1"/>
    <col min="8699" max="8699" width="0.109375" style="64" customWidth="1"/>
    <col min="8700" max="8700" width="0" style="64" hidden="1" customWidth="1"/>
    <col min="8701" max="8701" width="13.88671875" style="64" customWidth="1"/>
    <col min="8702" max="8702" width="14.6640625" style="64" customWidth="1"/>
    <col min="8703" max="8703" width="14" style="64" customWidth="1"/>
    <col min="8704" max="8704" width="14.44140625" style="64" customWidth="1"/>
    <col min="8705" max="8937" width="9.109375" style="64"/>
    <col min="8938" max="8946" width="0" style="64" hidden="1" customWidth="1"/>
    <col min="8947" max="8947" width="74.44140625" style="64" customWidth="1"/>
    <col min="8948" max="8954" width="0" style="64" hidden="1" customWidth="1"/>
    <col min="8955" max="8955" width="0.109375" style="64" customWidth="1"/>
    <col min="8956" max="8956" width="0" style="64" hidden="1" customWidth="1"/>
    <col min="8957" max="8957" width="13.88671875" style="64" customWidth="1"/>
    <col min="8958" max="8958" width="14.6640625" style="64" customWidth="1"/>
    <col min="8959" max="8959" width="14" style="64" customWidth="1"/>
    <col min="8960" max="8960" width="14.44140625" style="64" customWidth="1"/>
    <col min="8961" max="9193" width="9.109375" style="64"/>
    <col min="9194" max="9202" width="0" style="64" hidden="1" customWidth="1"/>
    <col min="9203" max="9203" width="74.44140625" style="64" customWidth="1"/>
    <col min="9204" max="9210" width="0" style="64" hidden="1" customWidth="1"/>
    <col min="9211" max="9211" width="0.109375" style="64" customWidth="1"/>
    <col min="9212" max="9212" width="0" style="64" hidden="1" customWidth="1"/>
    <col min="9213" max="9213" width="13.88671875" style="64" customWidth="1"/>
    <col min="9214" max="9214" width="14.6640625" style="64" customWidth="1"/>
    <col min="9215" max="9215" width="14" style="64" customWidth="1"/>
    <col min="9216" max="9216" width="14.44140625" style="64" customWidth="1"/>
    <col min="9217" max="9449" width="9.109375" style="64"/>
    <col min="9450" max="9458" width="0" style="64" hidden="1" customWidth="1"/>
    <col min="9459" max="9459" width="74.44140625" style="64" customWidth="1"/>
    <col min="9460" max="9466" width="0" style="64" hidden="1" customWidth="1"/>
    <col min="9467" max="9467" width="0.109375" style="64" customWidth="1"/>
    <col min="9468" max="9468" width="0" style="64" hidden="1" customWidth="1"/>
    <col min="9469" max="9469" width="13.88671875" style="64" customWidth="1"/>
    <col min="9470" max="9470" width="14.6640625" style="64" customWidth="1"/>
    <col min="9471" max="9471" width="14" style="64" customWidth="1"/>
    <col min="9472" max="9472" width="14.44140625" style="64" customWidth="1"/>
    <col min="9473" max="9705" width="9.109375" style="64"/>
    <col min="9706" max="9714" width="0" style="64" hidden="1" customWidth="1"/>
    <col min="9715" max="9715" width="74.44140625" style="64" customWidth="1"/>
    <col min="9716" max="9722" width="0" style="64" hidden="1" customWidth="1"/>
    <col min="9723" max="9723" width="0.109375" style="64" customWidth="1"/>
    <col min="9724" max="9724" width="0" style="64" hidden="1" customWidth="1"/>
    <col min="9725" max="9725" width="13.88671875" style="64" customWidth="1"/>
    <col min="9726" max="9726" width="14.6640625" style="64" customWidth="1"/>
    <col min="9727" max="9727" width="14" style="64" customWidth="1"/>
    <col min="9728" max="9728" width="14.44140625" style="64" customWidth="1"/>
    <col min="9729" max="9961" width="9.109375" style="64"/>
    <col min="9962" max="9970" width="0" style="64" hidden="1" customWidth="1"/>
    <col min="9971" max="9971" width="74.44140625" style="64" customWidth="1"/>
    <col min="9972" max="9978" width="0" style="64" hidden="1" customWidth="1"/>
    <col min="9979" max="9979" width="0.109375" style="64" customWidth="1"/>
    <col min="9980" max="9980" width="0" style="64" hidden="1" customWidth="1"/>
    <col min="9981" max="9981" width="13.88671875" style="64" customWidth="1"/>
    <col min="9982" max="9982" width="14.6640625" style="64" customWidth="1"/>
    <col min="9983" max="9983" width="14" style="64" customWidth="1"/>
    <col min="9984" max="9984" width="14.44140625" style="64" customWidth="1"/>
    <col min="9985" max="10217" width="9.109375" style="64"/>
    <col min="10218" max="10226" width="0" style="64" hidden="1" customWidth="1"/>
    <col min="10227" max="10227" width="74.44140625" style="64" customWidth="1"/>
    <col min="10228" max="10234" width="0" style="64" hidden="1" customWidth="1"/>
    <col min="10235" max="10235" width="0.109375" style="64" customWidth="1"/>
    <col min="10236" max="10236" width="0" style="64" hidden="1" customWidth="1"/>
    <col min="10237" max="10237" width="13.88671875" style="64" customWidth="1"/>
    <col min="10238" max="10238" width="14.6640625" style="64" customWidth="1"/>
    <col min="10239" max="10239" width="14" style="64" customWidth="1"/>
    <col min="10240" max="10240" width="14.44140625" style="64" customWidth="1"/>
    <col min="10241" max="10473" width="9.109375" style="64"/>
    <col min="10474" max="10482" width="0" style="64" hidden="1" customWidth="1"/>
    <col min="10483" max="10483" width="74.44140625" style="64" customWidth="1"/>
    <col min="10484" max="10490" width="0" style="64" hidden="1" customWidth="1"/>
    <col min="10491" max="10491" width="0.109375" style="64" customWidth="1"/>
    <col min="10492" max="10492" width="0" style="64" hidden="1" customWidth="1"/>
    <col min="10493" max="10493" width="13.88671875" style="64" customWidth="1"/>
    <col min="10494" max="10494" width="14.6640625" style="64" customWidth="1"/>
    <col min="10495" max="10495" width="14" style="64" customWidth="1"/>
    <col min="10496" max="10496" width="14.44140625" style="64" customWidth="1"/>
    <col min="10497" max="10729" width="9.109375" style="64"/>
    <col min="10730" max="10738" width="0" style="64" hidden="1" customWidth="1"/>
    <col min="10739" max="10739" width="74.44140625" style="64" customWidth="1"/>
    <col min="10740" max="10746" width="0" style="64" hidden="1" customWidth="1"/>
    <col min="10747" max="10747" width="0.109375" style="64" customWidth="1"/>
    <col min="10748" max="10748" width="0" style="64" hidden="1" customWidth="1"/>
    <col min="10749" max="10749" width="13.88671875" style="64" customWidth="1"/>
    <col min="10750" max="10750" width="14.6640625" style="64" customWidth="1"/>
    <col min="10751" max="10751" width="14" style="64" customWidth="1"/>
    <col min="10752" max="10752" width="14.44140625" style="64" customWidth="1"/>
    <col min="10753" max="10985" width="9.109375" style="64"/>
    <col min="10986" max="10994" width="0" style="64" hidden="1" customWidth="1"/>
    <col min="10995" max="10995" width="74.44140625" style="64" customWidth="1"/>
    <col min="10996" max="11002" width="0" style="64" hidden="1" customWidth="1"/>
    <col min="11003" max="11003" width="0.109375" style="64" customWidth="1"/>
    <col min="11004" max="11004" width="0" style="64" hidden="1" customWidth="1"/>
    <col min="11005" max="11005" width="13.88671875" style="64" customWidth="1"/>
    <col min="11006" max="11006" width="14.6640625" style="64" customWidth="1"/>
    <col min="11007" max="11007" width="14" style="64" customWidth="1"/>
    <col min="11008" max="11008" width="14.44140625" style="64" customWidth="1"/>
    <col min="11009" max="11241" width="9.109375" style="64"/>
    <col min="11242" max="11250" width="0" style="64" hidden="1" customWidth="1"/>
    <col min="11251" max="11251" width="74.44140625" style="64" customWidth="1"/>
    <col min="11252" max="11258" width="0" style="64" hidden="1" customWidth="1"/>
    <col min="11259" max="11259" width="0.109375" style="64" customWidth="1"/>
    <col min="11260" max="11260" width="0" style="64" hidden="1" customWidth="1"/>
    <col min="11261" max="11261" width="13.88671875" style="64" customWidth="1"/>
    <col min="11262" max="11262" width="14.6640625" style="64" customWidth="1"/>
    <col min="11263" max="11263" width="14" style="64" customWidth="1"/>
    <col min="11264" max="11264" width="14.44140625" style="64" customWidth="1"/>
    <col min="11265" max="11497" width="9.109375" style="64"/>
    <col min="11498" max="11506" width="0" style="64" hidden="1" customWidth="1"/>
    <col min="11507" max="11507" width="74.44140625" style="64" customWidth="1"/>
    <col min="11508" max="11514" width="0" style="64" hidden="1" customWidth="1"/>
    <col min="11515" max="11515" width="0.109375" style="64" customWidth="1"/>
    <col min="11516" max="11516" width="0" style="64" hidden="1" customWidth="1"/>
    <col min="11517" max="11517" width="13.88671875" style="64" customWidth="1"/>
    <col min="11518" max="11518" width="14.6640625" style="64" customWidth="1"/>
    <col min="11519" max="11519" width="14" style="64" customWidth="1"/>
    <col min="11520" max="11520" width="14.44140625" style="64" customWidth="1"/>
    <col min="11521" max="11753" width="9.109375" style="64"/>
    <col min="11754" max="11762" width="0" style="64" hidden="1" customWidth="1"/>
    <col min="11763" max="11763" width="74.44140625" style="64" customWidth="1"/>
    <col min="11764" max="11770" width="0" style="64" hidden="1" customWidth="1"/>
    <col min="11771" max="11771" width="0.109375" style="64" customWidth="1"/>
    <col min="11772" max="11772" width="0" style="64" hidden="1" customWidth="1"/>
    <col min="11773" max="11773" width="13.88671875" style="64" customWidth="1"/>
    <col min="11774" max="11774" width="14.6640625" style="64" customWidth="1"/>
    <col min="11775" max="11775" width="14" style="64" customWidth="1"/>
    <col min="11776" max="11776" width="14.44140625" style="64" customWidth="1"/>
    <col min="11777" max="12009" width="9.109375" style="64"/>
    <col min="12010" max="12018" width="0" style="64" hidden="1" customWidth="1"/>
    <col min="12019" max="12019" width="74.44140625" style="64" customWidth="1"/>
    <col min="12020" max="12026" width="0" style="64" hidden="1" customWidth="1"/>
    <col min="12027" max="12027" width="0.109375" style="64" customWidth="1"/>
    <col min="12028" max="12028" width="0" style="64" hidden="1" customWidth="1"/>
    <col min="12029" max="12029" width="13.88671875" style="64" customWidth="1"/>
    <col min="12030" max="12030" width="14.6640625" style="64" customWidth="1"/>
    <col min="12031" max="12031" width="14" style="64" customWidth="1"/>
    <col min="12032" max="12032" width="14.44140625" style="64" customWidth="1"/>
    <col min="12033" max="12265" width="9.109375" style="64"/>
    <col min="12266" max="12274" width="0" style="64" hidden="1" customWidth="1"/>
    <col min="12275" max="12275" width="74.44140625" style="64" customWidth="1"/>
    <col min="12276" max="12282" width="0" style="64" hidden="1" customWidth="1"/>
    <col min="12283" max="12283" width="0.109375" style="64" customWidth="1"/>
    <col min="12284" max="12284" width="0" style="64" hidden="1" customWidth="1"/>
    <col min="12285" max="12285" width="13.88671875" style="64" customWidth="1"/>
    <col min="12286" max="12286" width="14.6640625" style="64" customWidth="1"/>
    <col min="12287" max="12287" width="14" style="64" customWidth="1"/>
    <col min="12288" max="12288" width="14.44140625" style="64" customWidth="1"/>
    <col min="12289" max="12521" width="9.109375" style="64"/>
    <col min="12522" max="12530" width="0" style="64" hidden="1" customWidth="1"/>
    <col min="12531" max="12531" width="74.44140625" style="64" customWidth="1"/>
    <col min="12532" max="12538" width="0" style="64" hidden="1" customWidth="1"/>
    <col min="12539" max="12539" width="0.109375" style="64" customWidth="1"/>
    <col min="12540" max="12540" width="0" style="64" hidden="1" customWidth="1"/>
    <col min="12541" max="12541" width="13.88671875" style="64" customWidth="1"/>
    <col min="12542" max="12542" width="14.6640625" style="64" customWidth="1"/>
    <col min="12543" max="12543" width="14" style="64" customWidth="1"/>
    <col min="12544" max="12544" width="14.44140625" style="64" customWidth="1"/>
    <col min="12545" max="12777" width="9.109375" style="64"/>
    <col min="12778" max="12786" width="0" style="64" hidden="1" customWidth="1"/>
    <col min="12787" max="12787" width="74.44140625" style="64" customWidth="1"/>
    <col min="12788" max="12794" width="0" style="64" hidden="1" customWidth="1"/>
    <col min="12795" max="12795" width="0.109375" style="64" customWidth="1"/>
    <col min="12796" max="12796" width="0" style="64" hidden="1" customWidth="1"/>
    <col min="12797" max="12797" width="13.88671875" style="64" customWidth="1"/>
    <col min="12798" max="12798" width="14.6640625" style="64" customWidth="1"/>
    <col min="12799" max="12799" width="14" style="64" customWidth="1"/>
    <col min="12800" max="12800" width="14.44140625" style="64" customWidth="1"/>
    <col min="12801" max="13033" width="9.109375" style="64"/>
    <col min="13034" max="13042" width="0" style="64" hidden="1" customWidth="1"/>
    <col min="13043" max="13043" width="74.44140625" style="64" customWidth="1"/>
    <col min="13044" max="13050" width="0" style="64" hidden="1" customWidth="1"/>
    <col min="13051" max="13051" width="0.109375" style="64" customWidth="1"/>
    <col min="13052" max="13052" width="0" style="64" hidden="1" customWidth="1"/>
    <col min="13053" max="13053" width="13.88671875" style="64" customWidth="1"/>
    <col min="13054" max="13054" width="14.6640625" style="64" customWidth="1"/>
    <col min="13055" max="13055" width="14" style="64" customWidth="1"/>
    <col min="13056" max="13056" width="14.44140625" style="64" customWidth="1"/>
    <col min="13057" max="13289" width="9.109375" style="64"/>
    <col min="13290" max="13298" width="0" style="64" hidden="1" customWidth="1"/>
    <col min="13299" max="13299" width="74.44140625" style="64" customWidth="1"/>
    <col min="13300" max="13306" width="0" style="64" hidden="1" customWidth="1"/>
    <col min="13307" max="13307" width="0.109375" style="64" customWidth="1"/>
    <col min="13308" max="13308" width="0" style="64" hidden="1" customWidth="1"/>
    <col min="13309" max="13309" width="13.88671875" style="64" customWidth="1"/>
    <col min="13310" max="13310" width="14.6640625" style="64" customWidth="1"/>
    <col min="13311" max="13311" width="14" style="64" customWidth="1"/>
    <col min="13312" max="13312" width="14.44140625" style="64" customWidth="1"/>
    <col min="13313" max="13545" width="9.109375" style="64"/>
    <col min="13546" max="13554" width="0" style="64" hidden="1" customWidth="1"/>
    <col min="13555" max="13555" width="74.44140625" style="64" customWidth="1"/>
    <col min="13556" max="13562" width="0" style="64" hidden="1" customWidth="1"/>
    <col min="13563" max="13563" width="0.109375" style="64" customWidth="1"/>
    <col min="13564" max="13564" width="0" style="64" hidden="1" customWidth="1"/>
    <col min="13565" max="13565" width="13.88671875" style="64" customWidth="1"/>
    <col min="13566" max="13566" width="14.6640625" style="64" customWidth="1"/>
    <col min="13567" max="13567" width="14" style="64" customWidth="1"/>
    <col min="13568" max="13568" width="14.44140625" style="64" customWidth="1"/>
    <col min="13569" max="13801" width="9.109375" style="64"/>
    <col min="13802" max="13810" width="0" style="64" hidden="1" customWidth="1"/>
    <col min="13811" max="13811" width="74.44140625" style="64" customWidth="1"/>
    <col min="13812" max="13818" width="0" style="64" hidden="1" customWidth="1"/>
    <col min="13819" max="13819" width="0.109375" style="64" customWidth="1"/>
    <col min="13820" max="13820" width="0" style="64" hidden="1" customWidth="1"/>
    <col min="13821" max="13821" width="13.88671875" style="64" customWidth="1"/>
    <col min="13822" max="13822" width="14.6640625" style="64" customWidth="1"/>
    <col min="13823" max="13823" width="14" style="64" customWidth="1"/>
    <col min="13824" max="13824" width="14.44140625" style="64" customWidth="1"/>
    <col min="13825" max="14057" width="9.109375" style="64"/>
    <col min="14058" max="14066" width="0" style="64" hidden="1" customWidth="1"/>
    <col min="14067" max="14067" width="74.44140625" style="64" customWidth="1"/>
    <col min="14068" max="14074" width="0" style="64" hidden="1" customWidth="1"/>
    <col min="14075" max="14075" width="0.109375" style="64" customWidth="1"/>
    <col min="14076" max="14076" width="0" style="64" hidden="1" customWidth="1"/>
    <col min="14077" max="14077" width="13.88671875" style="64" customWidth="1"/>
    <col min="14078" max="14078" width="14.6640625" style="64" customWidth="1"/>
    <col min="14079" max="14079" width="14" style="64" customWidth="1"/>
    <col min="14080" max="14080" width="14.44140625" style="64" customWidth="1"/>
    <col min="14081" max="14313" width="9.109375" style="64"/>
    <col min="14314" max="14322" width="0" style="64" hidden="1" customWidth="1"/>
    <col min="14323" max="14323" width="74.44140625" style="64" customWidth="1"/>
    <col min="14324" max="14330" width="0" style="64" hidden="1" customWidth="1"/>
    <col min="14331" max="14331" width="0.109375" style="64" customWidth="1"/>
    <col min="14332" max="14332" width="0" style="64" hidden="1" customWidth="1"/>
    <col min="14333" max="14333" width="13.88671875" style="64" customWidth="1"/>
    <col min="14334" max="14334" width="14.6640625" style="64" customWidth="1"/>
    <col min="14335" max="14335" width="14" style="64" customWidth="1"/>
    <col min="14336" max="14336" width="14.44140625" style="64" customWidth="1"/>
    <col min="14337" max="14569" width="9.109375" style="64"/>
    <col min="14570" max="14578" width="0" style="64" hidden="1" customWidth="1"/>
    <col min="14579" max="14579" width="74.44140625" style="64" customWidth="1"/>
    <col min="14580" max="14586" width="0" style="64" hidden="1" customWidth="1"/>
    <col min="14587" max="14587" width="0.109375" style="64" customWidth="1"/>
    <col min="14588" max="14588" width="0" style="64" hidden="1" customWidth="1"/>
    <col min="14589" max="14589" width="13.88671875" style="64" customWidth="1"/>
    <col min="14590" max="14590" width="14.6640625" style="64" customWidth="1"/>
    <col min="14591" max="14591" width="14" style="64" customWidth="1"/>
    <col min="14592" max="14592" width="14.44140625" style="64" customWidth="1"/>
    <col min="14593" max="14825" width="9.109375" style="64"/>
    <col min="14826" max="14834" width="0" style="64" hidden="1" customWidth="1"/>
    <col min="14835" max="14835" width="74.44140625" style="64" customWidth="1"/>
    <col min="14836" max="14842" width="0" style="64" hidden="1" customWidth="1"/>
    <col min="14843" max="14843" width="0.109375" style="64" customWidth="1"/>
    <col min="14844" max="14844" width="0" style="64" hidden="1" customWidth="1"/>
    <col min="14845" max="14845" width="13.88671875" style="64" customWidth="1"/>
    <col min="14846" max="14846" width="14.6640625" style="64" customWidth="1"/>
    <col min="14847" max="14847" width="14" style="64" customWidth="1"/>
    <col min="14848" max="14848" width="14.44140625" style="64" customWidth="1"/>
    <col min="14849" max="15081" width="9.109375" style="64"/>
    <col min="15082" max="15090" width="0" style="64" hidden="1" customWidth="1"/>
    <col min="15091" max="15091" width="74.44140625" style="64" customWidth="1"/>
    <col min="15092" max="15098" width="0" style="64" hidden="1" customWidth="1"/>
    <col min="15099" max="15099" width="0.109375" style="64" customWidth="1"/>
    <col min="15100" max="15100" width="0" style="64" hidden="1" customWidth="1"/>
    <col min="15101" max="15101" width="13.88671875" style="64" customWidth="1"/>
    <col min="15102" max="15102" width="14.6640625" style="64" customWidth="1"/>
    <col min="15103" max="15103" width="14" style="64" customWidth="1"/>
    <col min="15104" max="15104" width="14.44140625" style="64" customWidth="1"/>
    <col min="15105" max="15337" width="9.109375" style="64"/>
    <col min="15338" max="15346" width="0" style="64" hidden="1" customWidth="1"/>
    <col min="15347" max="15347" width="74.44140625" style="64" customWidth="1"/>
    <col min="15348" max="15354" width="0" style="64" hidden="1" customWidth="1"/>
    <col min="15355" max="15355" width="0.109375" style="64" customWidth="1"/>
    <col min="15356" max="15356" width="0" style="64" hidden="1" customWidth="1"/>
    <col min="15357" max="15357" width="13.88671875" style="64" customWidth="1"/>
    <col min="15358" max="15358" width="14.6640625" style="64" customWidth="1"/>
    <col min="15359" max="15359" width="14" style="64" customWidth="1"/>
    <col min="15360" max="15360" width="14.44140625" style="64" customWidth="1"/>
    <col min="15361" max="15593" width="9.109375" style="64"/>
    <col min="15594" max="15602" width="0" style="64" hidden="1" customWidth="1"/>
    <col min="15603" max="15603" width="74.44140625" style="64" customWidth="1"/>
    <col min="15604" max="15610" width="0" style="64" hidden="1" customWidth="1"/>
    <col min="15611" max="15611" width="0.109375" style="64" customWidth="1"/>
    <col min="15612" max="15612" width="0" style="64" hidden="1" customWidth="1"/>
    <col min="15613" max="15613" width="13.88671875" style="64" customWidth="1"/>
    <col min="15614" max="15614" width="14.6640625" style="64" customWidth="1"/>
    <col min="15615" max="15615" width="14" style="64" customWidth="1"/>
    <col min="15616" max="15616" width="14.44140625" style="64" customWidth="1"/>
    <col min="15617" max="15849" width="9.109375" style="64"/>
    <col min="15850" max="15858" width="0" style="64" hidden="1" customWidth="1"/>
    <col min="15859" max="15859" width="74.44140625" style="64" customWidth="1"/>
    <col min="15860" max="15866" width="0" style="64" hidden="1" customWidth="1"/>
    <col min="15867" max="15867" width="0.109375" style="64" customWidth="1"/>
    <col min="15868" max="15868" width="0" style="64" hidden="1" customWidth="1"/>
    <col min="15869" max="15869" width="13.88671875" style="64" customWidth="1"/>
    <col min="15870" max="15870" width="14.6640625" style="64" customWidth="1"/>
    <col min="15871" max="15871" width="14" style="64" customWidth="1"/>
    <col min="15872" max="15872" width="14.44140625" style="64" customWidth="1"/>
    <col min="15873" max="16105" width="9.109375" style="64"/>
    <col min="16106" max="16114" width="0" style="64" hidden="1" customWidth="1"/>
    <col min="16115" max="16115" width="74.44140625" style="64" customWidth="1"/>
    <col min="16116" max="16122" width="0" style="64" hidden="1" customWidth="1"/>
    <col min="16123" max="16123" width="0.109375" style="64" customWidth="1"/>
    <col min="16124" max="16124" width="0" style="64" hidden="1" customWidth="1"/>
    <col min="16125" max="16125" width="13.88671875" style="64" customWidth="1"/>
    <col min="16126" max="16126" width="14.6640625" style="64" customWidth="1"/>
    <col min="16127" max="16127" width="14" style="64" customWidth="1"/>
    <col min="16128" max="16128" width="14.44140625" style="64" customWidth="1"/>
    <col min="16129" max="16384" width="9.109375" style="64"/>
  </cols>
  <sheetData>
    <row r="1" spans="1:6" ht="5.25" customHeight="1">
      <c r="A1" s="66"/>
      <c r="B1" s="76"/>
      <c r="C1" s="75"/>
      <c r="D1" s="173"/>
    </row>
    <row r="2" spans="1:6" ht="13.5" customHeight="1">
      <c r="A2" s="66"/>
      <c r="B2" s="74"/>
      <c r="C2" s="75"/>
      <c r="D2" s="109"/>
      <c r="E2" s="109" t="s">
        <v>203</v>
      </c>
    </row>
    <row r="3" spans="1:6" ht="13.5" customHeight="1">
      <c r="A3" s="66"/>
      <c r="B3" s="76"/>
      <c r="C3" s="75"/>
      <c r="D3" s="110"/>
      <c r="E3" s="110" t="s">
        <v>20</v>
      </c>
    </row>
    <row r="4" spans="1:6" ht="17.25" customHeight="1">
      <c r="A4" s="355" t="s">
        <v>259</v>
      </c>
      <c r="B4" s="76"/>
      <c r="C4" s="75"/>
      <c r="D4" s="66"/>
    </row>
    <row r="5" spans="1:6" ht="20.399999999999999">
      <c r="A5" s="77"/>
      <c r="B5" s="74"/>
      <c r="C5" s="75"/>
      <c r="D5" s="74"/>
      <c r="E5" s="356" t="s">
        <v>212</v>
      </c>
    </row>
    <row r="6" spans="1:6" ht="15.6">
      <c r="A6" s="78"/>
      <c r="B6" s="79" t="s">
        <v>362</v>
      </c>
      <c r="C6" s="79" t="s">
        <v>159</v>
      </c>
      <c r="D6" s="79" t="s">
        <v>363</v>
      </c>
      <c r="E6" s="112" t="s">
        <v>486</v>
      </c>
    </row>
    <row r="7" spans="1:6" s="65" customFormat="1" ht="20.25" customHeight="1">
      <c r="A7" s="80"/>
      <c r="B7" s="81" t="s">
        <v>73</v>
      </c>
      <c r="C7" s="81" t="s">
        <v>73</v>
      </c>
      <c r="D7" s="81" t="s">
        <v>3</v>
      </c>
      <c r="E7" s="113" t="s">
        <v>74</v>
      </c>
    </row>
    <row r="8" spans="1:6" ht="9.75" customHeight="1">
      <c r="A8" s="259"/>
      <c r="B8" s="76"/>
      <c r="C8" s="75"/>
      <c r="D8" s="260"/>
      <c r="E8" s="260"/>
    </row>
    <row r="9" spans="1:6" s="65" customFormat="1" ht="18" customHeight="1">
      <c r="A9" s="177" t="s">
        <v>97</v>
      </c>
      <c r="B9" s="164">
        <f>B10+B70</f>
        <v>166251</v>
      </c>
      <c r="C9" s="165">
        <f>C10+C70</f>
        <v>454233</v>
      </c>
      <c r="D9" s="165">
        <f>D10+D70</f>
        <v>-66989</v>
      </c>
      <c r="E9" s="165">
        <f>E10+E70</f>
        <v>-38055</v>
      </c>
    </row>
    <row r="10" spans="1:6" s="65" customFormat="1" ht="18" customHeight="1">
      <c r="A10" s="177" t="s">
        <v>341</v>
      </c>
      <c r="B10" s="145">
        <f>B11-(-B52)</f>
        <v>149741</v>
      </c>
      <c r="C10" s="83">
        <f>C11-(-C52)</f>
        <v>427413</v>
      </c>
      <c r="D10" s="83">
        <f>D11-(-D52)</f>
        <v>-40169</v>
      </c>
      <c r="E10" s="83">
        <f>E11-(-E52)</f>
        <v>-38055</v>
      </c>
    </row>
    <row r="11" spans="1:6" s="65" customFormat="1" ht="18" customHeight="1">
      <c r="A11" s="179" t="s">
        <v>98</v>
      </c>
      <c r="B11" s="164">
        <f>B12+B26+B30+B35+B36+B37+B40+B49+B50</f>
        <v>4230217</v>
      </c>
      <c r="C11" s="165">
        <f>C12+C26+C30+C35+C36+C37+C40+C49+C50+C51</f>
        <v>4606039</v>
      </c>
      <c r="D11" s="165">
        <f>D12+D26+D30+D35+D36+D37+D40+D49+D50+D51</f>
        <v>4750794</v>
      </c>
      <c r="E11" s="165">
        <f>E12+E26+E30+E35+E36+E37+E40+E49+E50+E51</f>
        <v>4957628</v>
      </c>
      <c r="F11" s="166"/>
    </row>
    <row r="12" spans="1:6" s="65" customFormat="1" ht="18.75" customHeight="1">
      <c r="A12" s="180" t="s">
        <v>273</v>
      </c>
      <c r="B12" s="145">
        <f>B13+B14+B15+B16+B17+B18+B21+B22</f>
        <v>3606155</v>
      </c>
      <c r="C12" s="83">
        <f>C13+C14+C15+C16+C17+C18+C21+C22</f>
        <v>508646</v>
      </c>
      <c r="D12" s="83">
        <f>D13+D14+D15+D16+D17+D18+D21+D22</f>
        <v>307523</v>
      </c>
      <c r="E12" s="83">
        <f>E13+E14+E15+E16+E17+E18+E21+E22</f>
        <v>329329</v>
      </c>
    </row>
    <row r="13" spans="1:6" s="65" customFormat="1" ht="18.75" customHeight="1">
      <c r="A13" s="82" t="s">
        <v>99</v>
      </c>
      <c r="B13" s="145">
        <v>2876164</v>
      </c>
      <c r="C13" s="145">
        <v>181017</v>
      </c>
      <c r="D13" s="145"/>
      <c r="E13" s="145"/>
    </row>
    <row r="14" spans="1:6" s="65" customFormat="1" ht="18.75" customHeight="1">
      <c r="A14" s="82" t="s">
        <v>140</v>
      </c>
      <c r="B14" s="145">
        <v>179363</v>
      </c>
      <c r="C14" s="145">
        <v>11240</v>
      </c>
      <c r="D14" s="145"/>
      <c r="E14" s="145"/>
    </row>
    <row r="15" spans="1:6" s="65" customFormat="1" ht="18.75" customHeight="1">
      <c r="A15" s="82" t="s">
        <v>141</v>
      </c>
      <c r="B15" s="145">
        <v>283418</v>
      </c>
      <c r="C15" s="145">
        <v>17999</v>
      </c>
      <c r="D15" s="145"/>
      <c r="E15" s="145"/>
    </row>
    <row r="16" spans="1:6" s="65" customFormat="1" ht="18.75" customHeight="1">
      <c r="A16" s="180" t="s">
        <v>100</v>
      </c>
      <c r="B16" s="145">
        <v>189297</v>
      </c>
      <c r="C16" s="83">
        <v>242806</v>
      </c>
      <c r="D16" s="83">
        <v>240794</v>
      </c>
      <c r="E16" s="83">
        <v>254208</v>
      </c>
    </row>
    <row r="17" spans="1:5" s="65" customFormat="1" ht="18.75" customHeight="1">
      <c r="A17" s="180" t="s">
        <v>101</v>
      </c>
      <c r="B17" s="145">
        <v>25003</v>
      </c>
      <c r="C17" s="83">
        <v>27708</v>
      </c>
      <c r="D17" s="83">
        <v>29413</v>
      </c>
      <c r="E17" s="83">
        <v>31051</v>
      </c>
    </row>
    <row r="18" spans="1:5" s="65" customFormat="1" ht="18.75" customHeight="1">
      <c r="A18" s="180" t="s">
        <v>142</v>
      </c>
      <c r="B18" s="145">
        <f>B19+B20</f>
        <v>51306</v>
      </c>
      <c r="C18" s="83">
        <f>C19+C20</f>
        <v>26934</v>
      </c>
      <c r="D18" s="83">
        <f>D19+D20</f>
        <v>36085</v>
      </c>
      <c r="E18" s="83">
        <f>E19+E20</f>
        <v>42479</v>
      </c>
    </row>
    <row r="19" spans="1:5" s="65" customFormat="1" ht="18.75" customHeight="1">
      <c r="A19" s="180" t="s">
        <v>272</v>
      </c>
      <c r="B19" s="145">
        <v>48689</v>
      </c>
      <c r="C19" s="83">
        <v>24719</v>
      </c>
      <c r="D19" s="83">
        <v>31439</v>
      </c>
      <c r="E19" s="83">
        <v>37042</v>
      </c>
    </row>
    <row r="20" spans="1:5" s="65" customFormat="1" ht="18.75" customHeight="1">
      <c r="A20" s="180" t="s">
        <v>158</v>
      </c>
      <c r="B20" s="145">
        <v>2617</v>
      </c>
      <c r="C20" s="83">
        <v>2215</v>
      </c>
      <c r="D20" s="83">
        <v>4646</v>
      </c>
      <c r="E20" s="83">
        <v>5437</v>
      </c>
    </row>
    <row r="21" spans="1:5" s="65" customFormat="1" ht="31.5" customHeight="1">
      <c r="A21" s="180" t="s">
        <v>251</v>
      </c>
      <c r="B21" s="145">
        <v>41</v>
      </c>
      <c r="C21" s="83">
        <v>36</v>
      </c>
      <c r="D21" s="83">
        <v>45</v>
      </c>
      <c r="E21" s="83">
        <v>47</v>
      </c>
    </row>
    <row r="22" spans="1:5" s="65" customFormat="1" ht="19.5" customHeight="1">
      <c r="A22" s="180" t="s">
        <v>143</v>
      </c>
      <c r="B22" s="145">
        <f>B23+B24+B25</f>
        <v>1563</v>
      </c>
      <c r="C22" s="145">
        <f>C23+C24+C25</f>
        <v>906</v>
      </c>
      <c r="D22" s="145">
        <f>D23+D24+D25</f>
        <v>1186</v>
      </c>
      <c r="E22" s="145">
        <f>E23+E24+E25</f>
        <v>1544</v>
      </c>
    </row>
    <row r="23" spans="1:5" s="65" customFormat="1" ht="19.5" customHeight="1">
      <c r="A23" s="180" t="s">
        <v>244</v>
      </c>
      <c r="B23" s="145">
        <v>1363</v>
      </c>
      <c r="C23" s="83">
        <v>596</v>
      </c>
      <c r="D23" s="83">
        <v>826</v>
      </c>
      <c r="E23" s="83">
        <v>1075</v>
      </c>
    </row>
    <row r="24" spans="1:5" s="65" customFormat="1" ht="19.5" customHeight="1">
      <c r="A24" s="180" t="s">
        <v>144</v>
      </c>
      <c r="B24" s="145">
        <v>73</v>
      </c>
      <c r="C24" s="83">
        <v>174</v>
      </c>
      <c r="D24" s="83">
        <v>198</v>
      </c>
      <c r="E24" s="83">
        <v>258</v>
      </c>
    </row>
    <row r="25" spans="1:5" s="65" customFormat="1" ht="19.5" customHeight="1">
      <c r="A25" s="180" t="s">
        <v>145</v>
      </c>
      <c r="B25" s="145">
        <v>127</v>
      </c>
      <c r="C25" s="83">
        <v>136</v>
      </c>
      <c r="D25" s="83">
        <v>162</v>
      </c>
      <c r="E25" s="83">
        <v>211</v>
      </c>
    </row>
    <row r="26" spans="1:5" s="65" customFormat="1" ht="15.75" customHeight="1">
      <c r="A26" s="180" t="s">
        <v>364</v>
      </c>
      <c r="B26" s="145">
        <f>B27+B28+B29</f>
        <v>386445</v>
      </c>
      <c r="C26" s="145">
        <f>C27+C28+C29</f>
        <v>2179629</v>
      </c>
      <c r="D26" s="145">
        <f>D27+D28+D29</f>
        <v>2302744</v>
      </c>
      <c r="E26" s="145">
        <f>E27+E28+E29</f>
        <v>2430916</v>
      </c>
    </row>
    <row r="27" spans="1:5" s="65" customFormat="1" ht="13.8">
      <c r="A27" s="82" t="s">
        <v>271</v>
      </c>
      <c r="B27" s="145">
        <v>386445</v>
      </c>
      <c r="C27" s="83">
        <v>1525624</v>
      </c>
      <c r="D27" s="83">
        <v>1604504</v>
      </c>
      <c r="E27" s="83">
        <v>1693804</v>
      </c>
    </row>
    <row r="28" spans="1:5" s="65" customFormat="1" ht="13.8">
      <c r="A28" s="82" t="s">
        <v>270</v>
      </c>
      <c r="B28" s="145"/>
      <c r="C28" s="83">
        <v>359956</v>
      </c>
      <c r="D28" s="83">
        <v>383836</v>
      </c>
      <c r="E28" s="83">
        <v>405202</v>
      </c>
    </row>
    <row r="29" spans="1:5" s="65" customFormat="1" ht="13.8">
      <c r="A29" s="82" t="s">
        <v>269</v>
      </c>
      <c r="B29" s="145"/>
      <c r="C29" s="83">
        <v>294049</v>
      </c>
      <c r="D29" s="83">
        <v>314404</v>
      </c>
      <c r="E29" s="83">
        <v>331910</v>
      </c>
    </row>
    <row r="30" spans="1:5" s="65" customFormat="1" ht="19.5" customHeight="1">
      <c r="A30" s="184" t="s">
        <v>268</v>
      </c>
      <c r="B30" s="145">
        <f>B31+B32+B33+B34</f>
        <v>91949</v>
      </c>
      <c r="C30" s="145">
        <f>C31+C32+C33+C34</f>
        <v>82740</v>
      </c>
      <c r="D30" s="145">
        <f>D31+D32+D33+D34</f>
        <v>69352</v>
      </c>
      <c r="E30" s="145">
        <f>E31+E32+E33+E34</f>
        <v>76645</v>
      </c>
    </row>
    <row r="31" spans="1:5" s="65" customFormat="1" ht="19.5" customHeight="1">
      <c r="A31" s="184" t="s">
        <v>252</v>
      </c>
      <c r="B31" s="145">
        <v>82478</v>
      </c>
      <c r="C31" s="83">
        <v>71218</v>
      </c>
      <c r="D31" s="83">
        <v>54970</v>
      </c>
      <c r="E31" s="83">
        <v>60772</v>
      </c>
    </row>
    <row r="32" spans="1:5" s="65" customFormat="1" ht="19.5" customHeight="1">
      <c r="A32" s="184" t="s">
        <v>253</v>
      </c>
      <c r="B32" s="145">
        <v>3530</v>
      </c>
      <c r="C32" s="83">
        <v>4981</v>
      </c>
      <c r="D32" s="83">
        <v>7784</v>
      </c>
      <c r="E32" s="83">
        <v>8589</v>
      </c>
    </row>
    <row r="33" spans="1:5" s="65" customFormat="1" ht="19.5" customHeight="1">
      <c r="A33" s="184" t="s">
        <v>254</v>
      </c>
      <c r="B33" s="145">
        <v>5548</v>
      </c>
      <c r="C33" s="83">
        <v>6336</v>
      </c>
      <c r="D33" s="83">
        <v>6140</v>
      </c>
      <c r="E33" s="83">
        <v>6769</v>
      </c>
    </row>
    <row r="34" spans="1:5" s="65" customFormat="1" ht="19.5" customHeight="1">
      <c r="A34" s="184" t="s">
        <v>255</v>
      </c>
      <c r="B34" s="145">
        <v>393</v>
      </c>
      <c r="C34" s="83">
        <v>205</v>
      </c>
      <c r="D34" s="83">
        <v>458</v>
      </c>
      <c r="E34" s="83">
        <v>515</v>
      </c>
    </row>
    <row r="35" spans="1:5" s="65" customFormat="1" ht="19.5" customHeight="1">
      <c r="A35" s="176" t="s">
        <v>102</v>
      </c>
      <c r="B35" s="145">
        <v>0</v>
      </c>
      <c r="C35" s="83">
        <v>0</v>
      </c>
      <c r="D35" s="83">
        <v>1</v>
      </c>
      <c r="E35" s="83">
        <v>1</v>
      </c>
    </row>
    <row r="36" spans="1:5" s="65" customFormat="1" ht="19.5" customHeight="1">
      <c r="A36" s="176" t="s">
        <v>103</v>
      </c>
      <c r="B36" s="145">
        <v>940</v>
      </c>
      <c r="C36" s="83">
        <v>991</v>
      </c>
      <c r="D36" s="83">
        <v>908</v>
      </c>
      <c r="E36" s="83">
        <v>908</v>
      </c>
    </row>
    <row r="37" spans="1:5" s="65" customFormat="1" ht="19.5" customHeight="1">
      <c r="A37" s="180" t="s">
        <v>146</v>
      </c>
      <c r="B37" s="145">
        <f>B38+B39</f>
        <v>133400</v>
      </c>
      <c r="C37" s="145">
        <f>C38+C39</f>
        <v>1715675</v>
      </c>
      <c r="D37" s="145">
        <f>D38+D39</f>
        <v>2058527</v>
      </c>
      <c r="E37" s="145">
        <f>E38+E39</f>
        <v>2107264</v>
      </c>
    </row>
    <row r="38" spans="1:5" s="65" customFormat="1" ht="33" customHeight="1">
      <c r="A38" s="180" t="s">
        <v>230</v>
      </c>
      <c r="B38" s="145">
        <v>133400</v>
      </c>
      <c r="C38" s="83">
        <v>1722112</v>
      </c>
      <c r="D38" s="83">
        <v>1918527</v>
      </c>
      <c r="E38" s="83">
        <v>2107264</v>
      </c>
    </row>
    <row r="39" spans="1:5" s="65" customFormat="1" ht="20.25" customHeight="1">
      <c r="A39" s="180" t="s">
        <v>147</v>
      </c>
      <c r="B39" s="145">
        <v>0</v>
      </c>
      <c r="C39" s="83">
        <v>-6437</v>
      </c>
      <c r="D39" s="83">
        <v>140000</v>
      </c>
      <c r="E39" s="83">
        <v>0</v>
      </c>
    </row>
    <row r="40" spans="1:5" s="65" customFormat="1" ht="20.25" customHeight="1">
      <c r="A40" s="180" t="s">
        <v>267</v>
      </c>
      <c r="B40" s="145">
        <f>B41+B48</f>
        <v>11267</v>
      </c>
      <c r="C40" s="145">
        <f>C41+C48</f>
        <v>11648</v>
      </c>
      <c r="D40" s="145">
        <f>D41+D48</f>
        <v>11739</v>
      </c>
      <c r="E40" s="145">
        <f>E41+E48</f>
        <v>12565</v>
      </c>
    </row>
    <row r="41" spans="1:5" s="65" customFormat="1" ht="30" customHeight="1">
      <c r="A41" s="180" t="s">
        <v>266</v>
      </c>
      <c r="B41" s="83">
        <f>B42+B43+B44+B45+B46+B47</f>
        <v>7475.9999999999991</v>
      </c>
      <c r="C41" s="145">
        <f>C42+C43+C44+C45+C46+C47</f>
        <v>7527</v>
      </c>
      <c r="D41" s="145">
        <f>D42+D43+D44+D45+D46+D47</f>
        <v>7554</v>
      </c>
      <c r="E41" s="145">
        <f>E42+E43+E44+E45+E46+E47</f>
        <v>8365</v>
      </c>
    </row>
    <row r="42" spans="1:5" s="65" customFormat="1" ht="20.25" customHeight="1">
      <c r="A42" s="180" t="s">
        <v>104</v>
      </c>
      <c r="B42" s="83">
        <v>812</v>
      </c>
      <c r="C42" s="83">
        <v>466</v>
      </c>
      <c r="D42" s="83">
        <v>482</v>
      </c>
      <c r="E42" s="83">
        <v>556</v>
      </c>
    </row>
    <row r="43" spans="1:5" s="65" customFormat="1" ht="20.25" customHeight="1">
      <c r="A43" s="82" t="s">
        <v>105</v>
      </c>
      <c r="B43" s="83">
        <v>97</v>
      </c>
      <c r="C43" s="83"/>
      <c r="D43" s="83"/>
      <c r="E43" s="83"/>
    </row>
    <row r="44" spans="1:5" s="65" customFormat="1" ht="20.25" customHeight="1">
      <c r="A44" s="180" t="s">
        <v>106</v>
      </c>
      <c r="B44" s="83">
        <v>4147</v>
      </c>
      <c r="C44" s="83">
        <v>2358</v>
      </c>
      <c r="D44" s="83">
        <v>1980</v>
      </c>
      <c r="E44" s="83">
        <v>2021</v>
      </c>
    </row>
    <row r="45" spans="1:5" s="65" customFormat="1" ht="20.25" customHeight="1">
      <c r="A45" s="82" t="s">
        <v>365</v>
      </c>
      <c r="B45" s="83">
        <v>189.9</v>
      </c>
      <c r="C45" s="83">
        <v>144</v>
      </c>
      <c r="D45" s="83">
        <v>197</v>
      </c>
      <c r="E45" s="83">
        <v>216</v>
      </c>
    </row>
    <row r="46" spans="1:5" s="65" customFormat="1" ht="20.25" customHeight="1">
      <c r="A46" s="82" t="s">
        <v>366</v>
      </c>
      <c r="B46" s="83">
        <v>298.89999999999998</v>
      </c>
      <c r="C46" s="83">
        <v>164</v>
      </c>
      <c r="D46" s="83">
        <v>158</v>
      </c>
      <c r="E46" s="83">
        <v>162</v>
      </c>
    </row>
    <row r="47" spans="1:5" s="65" customFormat="1" ht="20.25" customHeight="1">
      <c r="A47" s="82" t="s">
        <v>367</v>
      </c>
      <c r="B47" s="83">
        <f>2420-189.9-298.9</f>
        <v>1931.1999999999998</v>
      </c>
      <c r="C47" s="83">
        <v>4395</v>
      </c>
      <c r="D47" s="83">
        <v>4737</v>
      </c>
      <c r="E47" s="83">
        <f>5028+382</f>
        <v>5410</v>
      </c>
    </row>
    <row r="48" spans="1:5" s="65" customFormat="1" ht="20.25" customHeight="1">
      <c r="A48" s="82" t="s">
        <v>107</v>
      </c>
      <c r="B48" s="83">
        <v>3791</v>
      </c>
      <c r="C48" s="83">
        <v>4121</v>
      </c>
      <c r="D48" s="83">
        <v>4185</v>
      </c>
      <c r="E48" s="83">
        <v>4200</v>
      </c>
    </row>
    <row r="49" spans="1:7" s="65" customFormat="1" ht="20.25" customHeight="1">
      <c r="A49" s="82" t="s">
        <v>231</v>
      </c>
      <c r="B49" s="145"/>
      <c r="C49" s="83"/>
      <c r="D49" s="83"/>
      <c r="E49" s="83"/>
    </row>
    <row r="50" spans="1:7" s="65" customFormat="1" ht="20.25" customHeight="1">
      <c r="A50" s="82" t="s">
        <v>232</v>
      </c>
      <c r="B50" s="145">
        <v>61</v>
      </c>
      <c r="C50" s="240">
        <v>189</v>
      </c>
      <c r="D50" s="240">
        <v>0</v>
      </c>
      <c r="E50" s="240">
        <v>0</v>
      </c>
    </row>
    <row r="51" spans="1:7" s="65" customFormat="1" ht="20.25" customHeight="1">
      <c r="A51" s="82" t="s">
        <v>368</v>
      </c>
      <c r="B51" s="145"/>
      <c r="C51" s="240">
        <v>106521</v>
      </c>
      <c r="D51" s="240"/>
      <c r="E51" s="240"/>
    </row>
    <row r="52" spans="1:7" s="65" customFormat="1" ht="21" customHeight="1">
      <c r="A52" s="179" t="s">
        <v>108</v>
      </c>
      <c r="B52" s="164">
        <f>SUM(B66:B69)+B53+B56+B54+B55</f>
        <v>-4080476</v>
      </c>
      <c r="C52" s="165">
        <f>SUM(C66:C69)+C53+C54+C56+C55</f>
        <v>-4178626</v>
      </c>
      <c r="D52" s="165">
        <f>SUM(D66:D69)+D53+D54+D56+D55</f>
        <v>-4790963</v>
      </c>
      <c r="E52" s="165">
        <f>SUM(E66:E69)+E53+E54+E56+E55</f>
        <v>-4995683</v>
      </c>
    </row>
    <row r="53" spans="1:7" s="65" customFormat="1" ht="20.25" customHeight="1">
      <c r="A53" s="176" t="s">
        <v>109</v>
      </c>
      <c r="B53" s="145">
        <f>-2970233</f>
        <v>-2970233</v>
      </c>
      <c r="C53" s="145">
        <f>-3200371</f>
        <v>-3200371</v>
      </c>
      <c r="D53" s="145">
        <f>-3485314</f>
        <v>-3485314</v>
      </c>
      <c r="E53" s="145">
        <v>-3727922</v>
      </c>
    </row>
    <row r="54" spans="1:7" s="65" customFormat="1" ht="20.25" customHeight="1">
      <c r="A54" s="179" t="s">
        <v>265</v>
      </c>
      <c r="B54" s="145">
        <f>-300897</f>
        <v>-300897</v>
      </c>
      <c r="C54" s="145">
        <f>-312787</f>
        <v>-312787</v>
      </c>
      <c r="D54" s="145">
        <f>-522285</f>
        <v>-522285</v>
      </c>
      <c r="E54" s="145">
        <v>-458571</v>
      </c>
    </row>
    <row r="55" spans="1:7" s="65" customFormat="1" ht="20.25" customHeight="1">
      <c r="A55" s="179" t="s">
        <v>264</v>
      </c>
      <c r="B55" s="145">
        <f>-332842</f>
        <v>-332842</v>
      </c>
      <c r="C55" s="145">
        <f>-335588</f>
        <v>-335588</v>
      </c>
      <c r="D55" s="145">
        <v>-348972</v>
      </c>
      <c r="E55" s="145">
        <v>-368878</v>
      </c>
    </row>
    <row r="56" spans="1:7" s="65" customFormat="1" ht="20.25" customHeight="1">
      <c r="A56" s="176" t="s">
        <v>148</v>
      </c>
      <c r="B56" s="145">
        <f>B57+B59+B58</f>
        <v>-189714</v>
      </c>
      <c r="C56" s="145">
        <f>C57+C58</f>
        <v>-192773</v>
      </c>
      <c r="D56" s="145">
        <f>D57+D58</f>
        <v>-319781</v>
      </c>
      <c r="E56" s="145">
        <f>E57+E58</f>
        <v>-317752</v>
      </c>
    </row>
    <row r="57" spans="1:7" s="65" customFormat="1" ht="20.25" customHeight="1">
      <c r="A57" s="176" t="s">
        <v>149</v>
      </c>
      <c r="B57" s="145">
        <f>-161194</f>
        <v>-161194</v>
      </c>
      <c r="C57" s="83">
        <f>-192773</f>
        <v>-192773</v>
      </c>
      <c r="D57" s="83">
        <f>-319781</f>
        <v>-319781</v>
      </c>
      <c r="E57" s="83">
        <v>-317752</v>
      </c>
    </row>
    <row r="58" spans="1:7" s="65" customFormat="1" ht="20.25" customHeight="1">
      <c r="A58" s="176" t="s">
        <v>150</v>
      </c>
      <c r="B58" s="145">
        <f>0</f>
        <v>0</v>
      </c>
      <c r="C58" s="83">
        <v>0</v>
      </c>
      <c r="D58" s="83">
        <v>0</v>
      </c>
      <c r="E58" s="83">
        <v>0</v>
      </c>
    </row>
    <row r="59" spans="1:7" s="65" customFormat="1" ht="20.25" customHeight="1">
      <c r="A59" s="163" t="s">
        <v>151</v>
      </c>
      <c r="B59" s="145">
        <f>-28520</f>
        <v>-28520</v>
      </c>
      <c r="C59" s="145"/>
      <c r="D59" s="145"/>
      <c r="E59" s="145"/>
      <c r="G59" s="166"/>
    </row>
    <row r="60" spans="1:7" s="65" customFormat="1" ht="39.75" customHeight="1">
      <c r="A60" s="183"/>
      <c r="B60" s="145"/>
      <c r="C60" s="145"/>
      <c r="D60" s="145"/>
      <c r="E60" s="145"/>
      <c r="G60" s="166"/>
    </row>
    <row r="61" spans="1:7" s="65" customFormat="1" ht="20.25" customHeight="1">
      <c r="A61" s="183"/>
      <c r="B61" s="145"/>
      <c r="C61" s="109"/>
      <c r="D61" s="109"/>
      <c r="E61" s="109" t="s">
        <v>203</v>
      </c>
      <c r="G61" s="166"/>
    </row>
    <row r="62" spans="1:7" s="65" customFormat="1" ht="20.25" customHeight="1">
      <c r="A62" s="183"/>
      <c r="B62" s="145"/>
      <c r="C62" s="110"/>
      <c r="D62" s="110"/>
      <c r="E62" s="110" t="s">
        <v>43</v>
      </c>
      <c r="G62" s="166"/>
    </row>
    <row r="63" spans="1:7" s="65" customFormat="1" ht="20.25" customHeight="1">
      <c r="A63" s="183"/>
      <c r="B63" s="145"/>
      <c r="C63" s="111"/>
      <c r="D63" s="111" t="s">
        <v>212</v>
      </c>
      <c r="E63" s="111" t="s">
        <v>212</v>
      </c>
      <c r="G63" s="166"/>
    </row>
    <row r="64" spans="1:7" s="65" customFormat="1" ht="20.25" customHeight="1">
      <c r="A64" s="78"/>
      <c r="B64" s="182" t="s">
        <v>362</v>
      </c>
      <c r="C64" s="79" t="s">
        <v>263</v>
      </c>
      <c r="D64" s="79" t="s">
        <v>363</v>
      </c>
      <c r="E64" s="112" t="s">
        <v>486</v>
      </c>
      <c r="G64" s="166"/>
    </row>
    <row r="65" spans="1:7" s="65" customFormat="1" ht="20.25" customHeight="1">
      <c r="A65" s="80"/>
      <c r="B65" s="181" t="s">
        <v>73</v>
      </c>
      <c r="C65" s="81" t="s">
        <v>73</v>
      </c>
      <c r="D65" s="81" t="s">
        <v>3</v>
      </c>
      <c r="E65" s="113" t="s">
        <v>74</v>
      </c>
      <c r="G65" s="166"/>
    </row>
    <row r="66" spans="1:7" s="65" customFormat="1" ht="20.25" customHeight="1">
      <c r="A66" s="180" t="s">
        <v>152</v>
      </c>
      <c r="B66" s="145">
        <f>-26156</f>
        <v>-26156</v>
      </c>
      <c r="C66" s="145">
        <f>-28671</f>
        <v>-28671</v>
      </c>
      <c r="D66" s="145">
        <f>-30372</f>
        <v>-30372</v>
      </c>
      <c r="E66" s="145">
        <v>-32008</v>
      </c>
    </row>
    <row r="67" spans="1:7" s="65" customFormat="1" ht="20.25" customHeight="1">
      <c r="A67" s="163" t="s">
        <v>110</v>
      </c>
      <c r="B67" s="145">
        <f>-189337</f>
        <v>-189337</v>
      </c>
      <c r="C67" s="145">
        <f>-36188</f>
        <v>-36188</v>
      </c>
      <c r="D67" s="145">
        <f>0</f>
        <v>0</v>
      </c>
      <c r="E67" s="145">
        <f>0</f>
        <v>0</v>
      </c>
    </row>
    <row r="68" spans="1:7" s="65" customFormat="1" ht="20.25" customHeight="1">
      <c r="A68" s="176" t="s">
        <v>111</v>
      </c>
      <c r="B68" s="145">
        <f>-71296</f>
        <v>-71296</v>
      </c>
      <c r="C68" s="145">
        <f>-71792</f>
        <v>-71792</v>
      </c>
      <c r="D68" s="145">
        <v>-83498</v>
      </c>
      <c r="E68" s="145">
        <v>-87731</v>
      </c>
    </row>
    <row r="69" spans="1:7" s="65" customFormat="1" ht="20.25" customHeight="1">
      <c r="A69" s="176" t="s">
        <v>112</v>
      </c>
      <c r="B69" s="145">
        <v>-1</v>
      </c>
      <c r="C69" s="145">
        <f>-456</f>
        <v>-456</v>
      </c>
      <c r="D69" s="145">
        <f>-742+0.3+0.7</f>
        <v>-741</v>
      </c>
      <c r="E69" s="145">
        <f>-2822+0.3+0.7</f>
        <v>-2821</v>
      </c>
      <c r="F69" s="357"/>
    </row>
    <row r="70" spans="1:7" ht="19.5" customHeight="1">
      <c r="A70" s="177" t="s">
        <v>256</v>
      </c>
      <c r="B70" s="164">
        <f>B71+B79</f>
        <v>16510</v>
      </c>
      <c r="C70" s="164">
        <f>C71+C79</f>
        <v>26820</v>
      </c>
      <c r="D70" s="164">
        <f>D71+D79</f>
        <v>-26820</v>
      </c>
      <c r="E70" s="164">
        <f>E71+E79</f>
        <v>0</v>
      </c>
    </row>
    <row r="71" spans="1:7" ht="19.5" customHeight="1">
      <c r="A71" s="176" t="s">
        <v>113</v>
      </c>
      <c r="B71" s="145">
        <f>SUM(B72:B78)</f>
        <v>1712770</v>
      </c>
      <c r="C71" s="145">
        <f>SUM(C72:C78)</f>
        <v>2165026</v>
      </c>
      <c r="D71" s="145">
        <f>SUM(D72:D78)</f>
        <v>2890584</v>
      </c>
      <c r="E71" s="145">
        <f>SUM(E72:E78)</f>
        <v>2422946</v>
      </c>
    </row>
    <row r="72" spans="1:7" ht="19.5" customHeight="1">
      <c r="A72" s="176" t="s">
        <v>245</v>
      </c>
      <c r="B72" s="145">
        <f>171624+1976</f>
        <v>173600</v>
      </c>
      <c r="C72" s="145">
        <v>323883</v>
      </c>
      <c r="D72" s="145">
        <v>529189</v>
      </c>
      <c r="E72" s="145">
        <v>359159</v>
      </c>
    </row>
    <row r="73" spans="1:7" ht="19.5" customHeight="1">
      <c r="A73" s="176" t="s">
        <v>114</v>
      </c>
      <c r="B73" s="145">
        <v>1268061</v>
      </c>
      <c r="C73" s="145">
        <v>1394927</v>
      </c>
      <c r="D73" s="145">
        <v>1441651</v>
      </c>
      <c r="E73" s="145">
        <v>1516685</v>
      </c>
    </row>
    <row r="74" spans="1:7" ht="19.5" customHeight="1">
      <c r="A74" s="82" t="s">
        <v>115</v>
      </c>
      <c r="B74" s="145">
        <v>99179</v>
      </c>
      <c r="C74" s="145">
        <v>278522</v>
      </c>
      <c r="D74" s="145">
        <v>292387</v>
      </c>
      <c r="E74" s="145">
        <v>336101</v>
      </c>
    </row>
    <row r="75" spans="1:7" ht="30.75" customHeight="1">
      <c r="A75" s="180" t="s">
        <v>369</v>
      </c>
      <c r="B75" s="145">
        <v>95157</v>
      </c>
      <c r="C75" s="145">
        <v>110160</v>
      </c>
      <c r="D75" s="145">
        <v>126175</v>
      </c>
      <c r="E75" s="145">
        <v>158997</v>
      </c>
    </row>
    <row r="76" spans="1:7" ht="19.5" customHeight="1">
      <c r="A76" s="163" t="s">
        <v>233</v>
      </c>
      <c r="B76" s="145">
        <v>21063</v>
      </c>
      <c r="C76" s="145">
        <v>23992</v>
      </c>
      <c r="D76" s="145">
        <v>476890</v>
      </c>
      <c r="E76" s="145">
        <v>26377</v>
      </c>
    </row>
    <row r="77" spans="1:7" ht="13.8">
      <c r="A77" s="163" t="s">
        <v>234</v>
      </c>
      <c r="B77" s="145">
        <v>52915</v>
      </c>
      <c r="C77" s="145">
        <v>26798</v>
      </c>
      <c r="D77" s="145">
        <v>24292</v>
      </c>
      <c r="E77" s="145">
        <v>25627</v>
      </c>
    </row>
    <row r="78" spans="1:7" s="65" customFormat="1" ht="20.25" customHeight="1">
      <c r="A78" s="176" t="s">
        <v>246</v>
      </c>
      <c r="B78" s="145">
        <v>2795</v>
      </c>
      <c r="C78" s="168">
        <v>6744</v>
      </c>
      <c r="D78" s="168">
        <v>0</v>
      </c>
      <c r="E78" s="168">
        <v>0</v>
      </c>
    </row>
    <row r="79" spans="1:7" s="65" customFormat="1" ht="20.25" customHeight="1">
      <c r="A79" s="176" t="s">
        <v>235</v>
      </c>
      <c r="B79" s="145">
        <f>SUM(B80:B86)</f>
        <v>-1696260</v>
      </c>
      <c r="C79" s="83">
        <f>SUM(C80:C86)</f>
        <v>-2138206</v>
      </c>
      <c r="D79" s="145">
        <f>SUM(D80:D86)</f>
        <v>-2917404</v>
      </c>
      <c r="E79" s="145">
        <f>SUM(E80:E86)</f>
        <v>-2422946</v>
      </c>
    </row>
    <row r="80" spans="1:7" s="65" customFormat="1" ht="20.25" customHeight="1">
      <c r="A80" s="163" t="s">
        <v>116</v>
      </c>
      <c r="B80" s="169">
        <f>-169144</f>
        <v>-169144</v>
      </c>
      <c r="C80" s="145">
        <f>-328372</f>
        <v>-328372</v>
      </c>
      <c r="D80" s="145">
        <f>-D72</f>
        <v>-529189</v>
      </c>
      <c r="E80" s="145">
        <f t="shared" ref="D80:E85" si="0">-E72</f>
        <v>-359159</v>
      </c>
    </row>
    <row r="81" spans="1:7" s="65" customFormat="1" ht="20.25" customHeight="1">
      <c r="A81" s="176" t="s">
        <v>117</v>
      </c>
      <c r="B81" s="145">
        <f>-1260057</f>
        <v>-1260057</v>
      </c>
      <c r="C81" s="145">
        <v>-1389759</v>
      </c>
      <c r="D81" s="145">
        <f t="shared" si="0"/>
        <v>-1441651</v>
      </c>
      <c r="E81" s="145">
        <f t="shared" si="0"/>
        <v>-1516685</v>
      </c>
    </row>
    <row r="82" spans="1:7" s="65" customFormat="1" ht="20.25" customHeight="1">
      <c r="A82" s="82" t="s">
        <v>262</v>
      </c>
      <c r="B82" s="145">
        <f>-97141</f>
        <v>-97141</v>
      </c>
      <c r="C82" s="145">
        <v>-249657</v>
      </c>
      <c r="D82" s="145">
        <f t="shared" si="0"/>
        <v>-292387</v>
      </c>
      <c r="E82" s="145">
        <f t="shared" si="0"/>
        <v>-336101</v>
      </c>
    </row>
    <row r="83" spans="1:7" s="65" customFormat="1" ht="35.25" customHeight="1">
      <c r="A83" s="82" t="s">
        <v>261</v>
      </c>
      <c r="B83" s="145">
        <f>-95158</f>
        <v>-95158</v>
      </c>
      <c r="C83" s="145">
        <f>-109741</f>
        <v>-109741</v>
      </c>
      <c r="D83" s="145">
        <f t="shared" si="0"/>
        <v>-126175</v>
      </c>
      <c r="E83" s="145">
        <f t="shared" si="0"/>
        <v>-158997</v>
      </c>
    </row>
    <row r="84" spans="1:7" s="65" customFormat="1" ht="20.25" customHeight="1">
      <c r="A84" s="163" t="s">
        <v>236</v>
      </c>
      <c r="B84" s="145">
        <f>-20837</f>
        <v>-20837</v>
      </c>
      <c r="C84" s="145">
        <f>-23358</f>
        <v>-23358</v>
      </c>
      <c r="D84" s="145">
        <f t="shared" si="0"/>
        <v>-476890</v>
      </c>
      <c r="E84" s="145">
        <f t="shared" si="0"/>
        <v>-26377</v>
      </c>
    </row>
    <row r="85" spans="1:7" s="65" customFormat="1" ht="19.5" customHeight="1">
      <c r="A85" s="163" t="s">
        <v>299</v>
      </c>
      <c r="B85" s="145">
        <f>-52352</f>
        <v>-52352</v>
      </c>
      <c r="C85" s="145">
        <f>-30384</f>
        <v>-30384</v>
      </c>
      <c r="D85" s="145">
        <f t="shared" si="0"/>
        <v>-24292</v>
      </c>
      <c r="E85" s="145">
        <f t="shared" si="0"/>
        <v>-25627</v>
      </c>
    </row>
    <row r="86" spans="1:7" s="65" customFormat="1" ht="18.75" customHeight="1">
      <c r="A86" s="163" t="s">
        <v>300</v>
      </c>
      <c r="B86" s="145">
        <f>-1571</f>
        <v>-1571</v>
      </c>
      <c r="C86" s="145">
        <v>-6935</v>
      </c>
      <c r="D86" s="145">
        <f>-C70</f>
        <v>-26820</v>
      </c>
      <c r="E86" s="145">
        <v>0</v>
      </c>
    </row>
    <row r="87" spans="1:7" s="65" customFormat="1" ht="4.5" customHeight="1">
      <c r="A87" s="167"/>
      <c r="B87" s="170"/>
      <c r="C87" s="171"/>
      <c r="D87" s="168"/>
      <c r="E87" s="168"/>
    </row>
    <row r="88" spans="1:7" s="65" customFormat="1" ht="24" customHeight="1">
      <c r="A88" s="177" t="s">
        <v>118</v>
      </c>
      <c r="B88" s="164">
        <f>SUM(B89:B94)</f>
        <v>-4104</v>
      </c>
      <c r="C88" s="164">
        <f>SUM(C89:C94)</f>
        <v>-3456</v>
      </c>
      <c r="D88" s="164">
        <f>SUM(D89:D94)</f>
        <v>-9372</v>
      </c>
      <c r="E88" s="164">
        <f>SUM(E89:E94)</f>
        <v>-9537</v>
      </c>
    </row>
    <row r="89" spans="1:7" s="65" customFormat="1" ht="20.25" customHeight="1">
      <c r="A89" s="176" t="s">
        <v>370</v>
      </c>
      <c r="B89" s="145">
        <f>-2113</f>
        <v>-2113</v>
      </c>
      <c r="C89" s="83">
        <f>-2405</f>
        <v>-2405</v>
      </c>
      <c r="D89" s="145">
        <f>-7797</f>
        <v>-7797</v>
      </c>
      <c r="E89" s="145">
        <v>-8765</v>
      </c>
    </row>
    <row r="90" spans="1:7" s="65" customFormat="1" ht="18.75" customHeight="1">
      <c r="A90" s="176" t="s">
        <v>371</v>
      </c>
      <c r="B90" s="145">
        <v>0</v>
      </c>
      <c r="C90" s="83">
        <v>0</v>
      </c>
      <c r="D90" s="145">
        <v>0</v>
      </c>
      <c r="E90" s="145">
        <v>0</v>
      </c>
      <c r="G90" s="65" t="s">
        <v>66</v>
      </c>
    </row>
    <row r="91" spans="1:7" s="65" customFormat="1" ht="19.5" customHeight="1">
      <c r="A91" s="176" t="s">
        <v>119</v>
      </c>
      <c r="B91" s="145">
        <f>-2055</f>
        <v>-2055</v>
      </c>
      <c r="C91" s="83">
        <f>-1349</f>
        <v>-1349</v>
      </c>
      <c r="D91" s="145">
        <f>-1975</f>
        <v>-1975</v>
      </c>
      <c r="E91" s="145">
        <v>-872</v>
      </c>
    </row>
    <row r="92" spans="1:7" s="65" customFormat="1" ht="19.5" customHeight="1">
      <c r="A92" s="176" t="s">
        <v>120</v>
      </c>
      <c r="B92" s="145">
        <v>64</v>
      </c>
      <c r="C92" s="83">
        <v>298</v>
      </c>
      <c r="D92" s="145">
        <v>400</v>
      </c>
      <c r="E92" s="145">
        <v>100</v>
      </c>
    </row>
    <row r="93" spans="1:7" s="65" customFormat="1" ht="19.5" customHeight="1">
      <c r="A93" s="176" t="s">
        <v>247</v>
      </c>
      <c r="B93" s="145"/>
      <c r="C93" s="168"/>
      <c r="D93" s="168"/>
      <c r="E93" s="168"/>
    </row>
    <row r="94" spans="1:7" s="65" customFormat="1" ht="19.5" customHeight="1">
      <c r="A94" s="176" t="s">
        <v>121</v>
      </c>
      <c r="B94" s="145"/>
      <c r="C94" s="168"/>
      <c r="D94" s="168"/>
      <c r="E94" s="168"/>
    </row>
    <row r="95" spans="1:7" s="65" customFormat="1" ht="2.25" customHeight="1">
      <c r="A95" s="178"/>
      <c r="B95" s="145"/>
      <c r="C95" s="171"/>
      <c r="D95" s="168"/>
      <c r="E95" s="168"/>
    </row>
    <row r="96" spans="1:7" s="65" customFormat="1" ht="20.25" customHeight="1">
      <c r="A96" s="177" t="s">
        <v>122</v>
      </c>
      <c r="B96" s="164">
        <f>SUM(B97:B103)</f>
        <v>5</v>
      </c>
      <c r="C96" s="164">
        <f>SUM(C97:C103)</f>
        <v>0</v>
      </c>
      <c r="D96" s="164">
        <f>SUM(D97:D103)</f>
        <v>0</v>
      </c>
      <c r="E96" s="164">
        <f>SUM(E97:E103)</f>
        <v>0</v>
      </c>
    </row>
    <row r="97" spans="1:5" s="65" customFormat="1" ht="20.25" customHeight="1">
      <c r="A97" s="176" t="s">
        <v>123</v>
      </c>
      <c r="B97" s="145"/>
      <c r="C97" s="172"/>
      <c r="D97" s="168"/>
      <c r="E97" s="168"/>
    </row>
    <row r="98" spans="1:5" s="65" customFormat="1" ht="20.25" customHeight="1">
      <c r="A98" s="176" t="s">
        <v>124</v>
      </c>
      <c r="B98" s="145"/>
      <c r="C98" s="261"/>
      <c r="D98" s="145"/>
      <c r="E98" s="145"/>
    </row>
    <row r="99" spans="1:5" s="65" customFormat="1" ht="20.25" customHeight="1">
      <c r="A99" s="176" t="s">
        <v>125</v>
      </c>
      <c r="B99" s="145"/>
      <c r="C99" s="261"/>
      <c r="D99" s="145"/>
      <c r="E99" s="145"/>
    </row>
    <row r="100" spans="1:5" s="65" customFormat="1" ht="20.25" customHeight="1">
      <c r="A100" s="176" t="s">
        <v>126</v>
      </c>
      <c r="B100" s="145"/>
      <c r="C100" s="261"/>
      <c r="D100" s="261"/>
      <c r="E100" s="261"/>
    </row>
    <row r="101" spans="1:5" s="65" customFormat="1" ht="20.25" customHeight="1">
      <c r="A101" s="176" t="s">
        <v>237</v>
      </c>
      <c r="B101" s="145"/>
      <c r="C101" s="172"/>
      <c r="D101" s="172"/>
      <c r="E101" s="172"/>
    </row>
    <row r="102" spans="1:5" s="65" customFormat="1" ht="9" customHeight="1">
      <c r="A102" s="176"/>
      <c r="B102" s="145"/>
      <c r="C102" s="172"/>
      <c r="D102" s="172"/>
      <c r="E102" s="172"/>
    </row>
    <row r="103" spans="1:5" s="65" customFormat="1" ht="12" customHeight="1">
      <c r="A103" s="179" t="s">
        <v>260</v>
      </c>
      <c r="B103" s="145">
        <v>5</v>
      </c>
      <c r="C103" s="172"/>
      <c r="D103" s="172"/>
      <c r="E103" s="172"/>
    </row>
    <row r="104" spans="1:5" s="65" customFormat="1" ht="10.5" customHeight="1">
      <c r="A104" s="178"/>
      <c r="B104" s="164"/>
      <c r="C104" s="171"/>
      <c r="D104" s="171"/>
      <c r="E104" s="171"/>
    </row>
    <row r="105" spans="1:5" s="65" customFormat="1" ht="20.25" customHeight="1">
      <c r="A105" s="177" t="s">
        <v>248</v>
      </c>
      <c r="B105" s="164">
        <v>162152</v>
      </c>
      <c r="C105" s="164">
        <f>C111</f>
        <v>450777</v>
      </c>
      <c r="D105" s="164">
        <f>D111</f>
        <v>-76361</v>
      </c>
      <c r="E105" s="164">
        <f>E111</f>
        <v>-47592</v>
      </c>
    </row>
    <row r="106" spans="1:5" s="65" customFormat="1" ht="8.25" customHeight="1">
      <c r="A106" s="214"/>
      <c r="B106" s="164"/>
      <c r="C106" s="168"/>
      <c r="D106" s="168"/>
      <c r="E106" s="168"/>
    </row>
    <row r="107" spans="1:5" s="65" customFormat="1" ht="20.25" customHeight="1">
      <c r="A107" s="177" t="s">
        <v>249</v>
      </c>
      <c r="B107" s="164"/>
      <c r="C107" s="168"/>
      <c r="D107" s="168"/>
      <c r="E107" s="168"/>
    </row>
    <row r="108" spans="1:5" s="65" customFormat="1" ht="20.25" customHeight="1">
      <c r="A108" s="176" t="s">
        <v>153</v>
      </c>
      <c r="B108" s="145">
        <v>220601</v>
      </c>
      <c r="C108" s="145">
        <f>B114</f>
        <v>382753</v>
      </c>
      <c r="D108" s="145">
        <f>C114</f>
        <v>833530</v>
      </c>
      <c r="E108" s="145">
        <f>D114</f>
        <v>757169</v>
      </c>
    </row>
    <row r="109" spans="1:5" s="65" customFormat="1" ht="20.25" customHeight="1">
      <c r="A109" s="176" t="s">
        <v>238</v>
      </c>
      <c r="B109" s="145"/>
      <c r="C109" s="145">
        <v>0</v>
      </c>
      <c r="D109" s="145">
        <v>194593</v>
      </c>
      <c r="E109" s="145">
        <f>D115</f>
        <v>0</v>
      </c>
    </row>
    <row r="110" spans="1:5" s="65" customFormat="1" ht="13.8">
      <c r="A110" s="176" t="s">
        <v>239</v>
      </c>
      <c r="B110" s="145"/>
      <c r="C110" s="145"/>
      <c r="D110" s="145">
        <f>D108-D109</f>
        <v>638937</v>
      </c>
      <c r="E110" s="145">
        <f>E108-E109</f>
        <v>757169</v>
      </c>
    </row>
    <row r="111" spans="1:5" s="65" customFormat="1" ht="13.8">
      <c r="A111" s="176" t="s">
        <v>127</v>
      </c>
      <c r="B111" s="145">
        <f>B114-B108</f>
        <v>162152</v>
      </c>
      <c r="C111" s="145">
        <f>C114-C108</f>
        <v>450777</v>
      </c>
      <c r="D111" s="145">
        <f>D114-D108</f>
        <v>-76361</v>
      </c>
      <c r="E111" s="145">
        <f>E114-E108</f>
        <v>-47592</v>
      </c>
    </row>
    <row r="112" spans="1:5" s="65" customFormat="1" ht="17.25" customHeight="1">
      <c r="A112" s="176" t="s">
        <v>240</v>
      </c>
      <c r="B112" s="145"/>
      <c r="C112" s="145"/>
      <c r="D112" s="145"/>
      <c r="E112" s="145"/>
    </row>
    <row r="113" spans="1:5" s="65" customFormat="1" ht="21" customHeight="1">
      <c r="A113" s="176" t="s">
        <v>241</v>
      </c>
      <c r="B113" s="145"/>
      <c r="C113" s="145"/>
      <c r="D113" s="145"/>
      <c r="E113" s="145"/>
    </row>
    <row r="114" spans="1:5" s="65" customFormat="1" ht="13.8">
      <c r="A114" s="176" t="s">
        <v>128</v>
      </c>
      <c r="B114" s="145">
        <f>B115+B116</f>
        <v>382753</v>
      </c>
      <c r="C114" s="145">
        <f>C116+C115</f>
        <v>833530</v>
      </c>
      <c r="D114" s="145">
        <f>D9+D88+D96+D108</f>
        <v>757169</v>
      </c>
      <c r="E114" s="145">
        <f>E9+E88+E96+E108</f>
        <v>709577</v>
      </c>
    </row>
    <row r="115" spans="1:5" s="65" customFormat="1" ht="20.25" customHeight="1">
      <c r="A115" s="176" t="s">
        <v>243</v>
      </c>
      <c r="B115" s="145">
        <v>0</v>
      </c>
      <c r="C115" s="145">
        <v>195043</v>
      </c>
      <c r="D115" s="145">
        <v>0</v>
      </c>
      <c r="E115" s="145">
        <v>556483</v>
      </c>
    </row>
    <row r="116" spans="1:5" s="65" customFormat="1" ht="20.25" customHeight="1">
      <c r="A116" s="176" t="s">
        <v>242</v>
      </c>
      <c r="B116" s="145">
        <v>382753</v>
      </c>
      <c r="C116" s="145">
        <f>C108+C9+C88+C96-C115</f>
        <v>638487</v>
      </c>
      <c r="D116" s="145">
        <f>D114-D115</f>
        <v>757169</v>
      </c>
      <c r="E116" s="145">
        <f>E114-E115</f>
        <v>153094</v>
      </c>
    </row>
    <row r="117" spans="1:5" s="65" customFormat="1" ht="6" customHeight="1">
      <c r="A117" s="163"/>
      <c r="B117" s="175"/>
      <c r="C117" s="215"/>
      <c r="D117" s="215"/>
      <c r="E117" s="215"/>
    </row>
    <row r="118" spans="1:5" s="65" customFormat="1" ht="20.25" customHeight="1">
      <c r="A118" s="216" t="s">
        <v>129</v>
      </c>
      <c r="B118" s="164">
        <v>174459</v>
      </c>
      <c r="C118" s="164">
        <f>-((C52+C89+C91)/12*0.5)</f>
        <v>174265.83333333334</v>
      </c>
      <c r="D118" s="164">
        <v>189340</v>
      </c>
      <c r="E118" s="164">
        <v>120752</v>
      </c>
    </row>
    <row r="119" spans="1:5" s="65" customFormat="1" ht="8.25" customHeight="1">
      <c r="A119" s="217"/>
      <c r="B119" s="75"/>
      <c r="C119" s="174"/>
      <c r="D119" s="173"/>
      <c r="E119" s="166"/>
    </row>
    <row r="120" spans="1:5" s="65" customFormat="1" ht="20.25" customHeight="1">
      <c r="A120" s="217"/>
      <c r="B120" s="76"/>
      <c r="C120" s="218"/>
      <c r="D120" s="173"/>
    </row>
    <row r="121" spans="1:5" s="65" customFormat="1" ht="20.25" customHeight="1"/>
    <row r="122" spans="1:5" s="65" customFormat="1" ht="20.25" customHeight="1">
      <c r="E122" s="166"/>
    </row>
    <row r="123" spans="1:5" s="65" customFormat="1" ht="20.25" customHeight="1"/>
    <row r="124" spans="1:5" s="65" customFormat="1" ht="17.25" customHeight="1"/>
    <row r="125" spans="1:5" s="65" customFormat="1" ht="12" customHeight="1"/>
    <row r="126" spans="1:5" s="65" customFormat="1" ht="20.25" customHeight="1"/>
    <row r="127" spans="1:5">
      <c r="B127" s="64"/>
      <c r="C127" s="64"/>
      <c r="D127" s="64"/>
    </row>
    <row r="128" spans="1:5" ht="13.5" customHeight="1">
      <c r="B128" s="64"/>
      <c r="C128" s="64"/>
      <c r="D128" s="64"/>
    </row>
    <row r="129" hidden="1"/>
    <row r="130" hidden="1"/>
    <row r="131" hidden="1"/>
    <row r="132" hidden="1"/>
    <row r="133" hidden="1"/>
    <row r="134" hidden="1"/>
    <row r="135" hidden="1"/>
    <row r="136" hidden="1"/>
    <row r="137" hidden="1"/>
    <row r="138" hidden="1"/>
    <row r="139" hidden="1"/>
    <row r="140" hidden="1"/>
    <row r="142" ht="15.75" customHeight="1"/>
  </sheetData>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2"/>
  <sheetViews>
    <sheetView topLeftCell="A4" zoomScale="110" workbookViewId="0">
      <selection activeCell="I11" sqref="I11"/>
    </sheetView>
  </sheetViews>
  <sheetFormatPr defaultColWidth="9.109375" defaultRowHeight="13.2"/>
  <cols>
    <col min="1" max="1" width="27.5546875" style="59" customWidth="1"/>
    <col min="2" max="2" width="10" style="59" customWidth="1"/>
    <col min="3" max="3" width="17.88671875" style="59" customWidth="1"/>
    <col min="4" max="4" width="14.88671875" style="59" customWidth="1"/>
    <col min="5" max="5" width="10.33203125" style="59" customWidth="1"/>
    <col min="6" max="6" width="7.6640625" style="59" customWidth="1"/>
    <col min="7" max="7" width="9.33203125" style="59" bestFit="1" customWidth="1"/>
    <col min="8" max="8" width="9.109375" style="59"/>
    <col min="9" max="9" width="9.6640625" style="59" bestFit="1" customWidth="1"/>
    <col min="10" max="16384" width="9.109375" style="59"/>
  </cols>
  <sheetData>
    <row r="1" spans="1:7" ht="13.5" customHeight="1">
      <c r="B1" s="185"/>
      <c r="F1" s="59" t="s">
        <v>214</v>
      </c>
    </row>
    <row r="2" spans="1:7" ht="13.5" customHeight="1">
      <c r="B2" s="185"/>
      <c r="F2" s="59" t="s">
        <v>20</v>
      </c>
      <c r="G2" s="60"/>
    </row>
    <row r="3" spans="1:7" ht="13.5" customHeight="1">
      <c r="B3" s="185"/>
      <c r="G3" s="60"/>
    </row>
    <row r="4" spans="1:7" ht="13.5" customHeight="1">
      <c r="A4" s="423" t="s">
        <v>89</v>
      </c>
      <c r="B4" s="423"/>
      <c r="C4" s="423"/>
      <c r="D4" s="423"/>
      <c r="E4" s="423"/>
      <c r="F4" s="423"/>
    </row>
    <row r="5" spans="1:7" ht="13.5" customHeight="1">
      <c r="A5" s="423" t="s">
        <v>90</v>
      </c>
      <c r="B5" s="423"/>
      <c r="C5" s="423"/>
      <c r="D5" s="423"/>
      <c r="E5" s="423"/>
      <c r="F5" s="423"/>
    </row>
    <row r="6" spans="1:7" ht="18" customHeight="1">
      <c r="B6" s="185"/>
    </row>
    <row r="7" spans="1:7" ht="76.5" customHeight="1">
      <c r="A7" s="424" t="s">
        <v>215</v>
      </c>
      <c r="B7" s="424"/>
      <c r="C7" s="424"/>
      <c r="D7" s="424"/>
      <c r="E7" s="424"/>
      <c r="F7" s="424"/>
    </row>
    <row r="8" spans="1:7" ht="40.5" customHeight="1">
      <c r="A8" s="425" t="s">
        <v>287</v>
      </c>
      <c r="B8" s="425"/>
      <c r="C8" s="425"/>
      <c r="D8" s="425"/>
      <c r="E8" s="425"/>
      <c r="F8" s="425"/>
    </row>
    <row r="9" spans="1:7" ht="38.25" customHeight="1">
      <c r="A9" s="425" t="s">
        <v>409</v>
      </c>
      <c r="B9" s="425"/>
      <c r="C9" s="425"/>
      <c r="D9" s="425"/>
      <c r="E9" s="425"/>
      <c r="F9" s="425"/>
    </row>
    <row r="10" spans="1:7" ht="15" customHeight="1">
      <c r="A10" s="422" t="s">
        <v>288</v>
      </c>
      <c r="B10" s="422"/>
      <c r="C10" s="422"/>
      <c r="D10" s="422"/>
      <c r="E10" s="422"/>
      <c r="F10" s="422"/>
    </row>
    <row r="11" spans="1:7" ht="51.75" customHeight="1">
      <c r="A11" s="424" t="s">
        <v>410</v>
      </c>
      <c r="B11" s="424"/>
      <c r="C11" s="424"/>
      <c r="D11" s="424"/>
      <c r="E11" s="424"/>
      <c r="F11" s="424"/>
    </row>
    <row r="12" spans="1:7" ht="15" customHeight="1">
      <c r="A12" s="429" t="s">
        <v>289</v>
      </c>
      <c r="B12" s="429"/>
      <c r="C12" s="429"/>
      <c r="D12" s="429"/>
      <c r="E12" s="429"/>
      <c r="F12" s="429"/>
    </row>
    <row r="13" spans="1:7" ht="27" customHeight="1">
      <c r="A13" s="61"/>
      <c r="B13" s="61"/>
      <c r="C13" s="61"/>
      <c r="D13" s="61"/>
      <c r="E13" s="61" t="s">
        <v>66</v>
      </c>
      <c r="F13" s="61"/>
    </row>
    <row r="14" spans="1:7" ht="54.75" customHeight="1">
      <c r="B14" s="430" t="s">
        <v>347</v>
      </c>
      <c r="C14" s="430"/>
      <c r="D14" s="186" t="s">
        <v>91</v>
      </c>
    </row>
    <row r="15" spans="1:7" ht="24" customHeight="1">
      <c r="B15" s="426" t="s">
        <v>92</v>
      </c>
      <c r="C15" s="426"/>
      <c r="D15" s="187">
        <v>0.14000000000000001</v>
      </c>
    </row>
    <row r="16" spans="1:7" ht="24" customHeight="1">
      <c r="B16" s="426" t="s">
        <v>93</v>
      </c>
      <c r="C16" s="426"/>
      <c r="D16" s="188">
        <v>0.47</v>
      </c>
    </row>
    <row r="17" spans="1:4" ht="24" customHeight="1">
      <c r="B17" s="426" t="s">
        <v>94</v>
      </c>
      <c r="C17" s="426"/>
      <c r="D17" s="188">
        <v>0.7</v>
      </c>
    </row>
    <row r="18" spans="1:4" ht="24" customHeight="1">
      <c r="B18" s="426" t="s">
        <v>95</v>
      </c>
      <c r="C18" s="426"/>
      <c r="D18" s="189">
        <v>1.4</v>
      </c>
    </row>
    <row r="19" spans="1:4" ht="66.75" customHeight="1">
      <c r="B19" s="427" t="s">
        <v>96</v>
      </c>
      <c r="C19" s="428"/>
      <c r="D19" s="190">
        <v>0.16</v>
      </c>
    </row>
    <row r="20" spans="1:4" ht="16.5" customHeight="1">
      <c r="B20" s="185"/>
    </row>
    <row r="21" spans="1:4" ht="18" customHeight="1">
      <c r="B21" s="185"/>
    </row>
    <row r="22" spans="1:4" ht="18.75" customHeight="1">
      <c r="B22" s="191"/>
      <c r="C22" s="62"/>
    </row>
    <row r="23" spans="1:4" ht="25.5" customHeight="1">
      <c r="B23" s="185"/>
    </row>
    <row r="24" spans="1:4" ht="14.25" customHeight="1">
      <c r="A24" s="63"/>
      <c r="B24" s="191"/>
      <c r="C24" s="62"/>
      <c r="D24" s="62"/>
    </row>
    <row r="25" spans="1:4" ht="49.5" customHeight="1">
      <c r="B25" s="185"/>
    </row>
    <row r="26" spans="1:4">
      <c r="B26" s="185"/>
    </row>
    <row r="27" spans="1:4">
      <c r="B27" s="185"/>
    </row>
    <row r="28" spans="1:4">
      <c r="B28" s="185"/>
    </row>
    <row r="29" spans="1:4" ht="11.25" customHeight="1">
      <c r="B29" s="185"/>
    </row>
    <row r="30" spans="1:4">
      <c r="B30" s="185"/>
    </row>
    <row r="31" spans="1:4">
      <c r="B31" s="185"/>
    </row>
    <row r="32" spans="1:4">
      <c r="B32" s="185"/>
    </row>
    <row r="52" ht="32.25" customHeight="1"/>
  </sheetData>
  <mergeCells count="14">
    <mergeCell ref="B18:C18"/>
    <mergeCell ref="B19:C19"/>
    <mergeCell ref="A11:F11"/>
    <mergeCell ref="A12:F12"/>
    <mergeCell ref="B14:C14"/>
    <mergeCell ref="B15:C15"/>
    <mergeCell ref="B16:C16"/>
    <mergeCell ref="B17:C17"/>
    <mergeCell ref="A10:F10"/>
    <mergeCell ref="A4:F4"/>
    <mergeCell ref="A5:F5"/>
    <mergeCell ref="A7:F7"/>
    <mergeCell ref="A8:F8"/>
    <mergeCell ref="A9:F9"/>
  </mergeCells>
  <pageMargins left="0.7" right="0.7" top="0.75" bottom="0.75" header="0.3" footer="0.3"/>
  <pageSetup paperSize="9" scale="9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4"/>
  <sheetViews>
    <sheetView topLeftCell="A19" workbookViewId="0">
      <selection activeCell="K25" sqref="K25"/>
    </sheetView>
  </sheetViews>
  <sheetFormatPr defaultRowHeight="13.2"/>
  <cols>
    <col min="1" max="1" width="5.44140625" style="50" customWidth="1"/>
    <col min="2" max="8" width="9.109375" style="50"/>
    <col min="9" max="9" width="13.5546875" style="50" customWidth="1"/>
    <col min="10" max="10" width="10.5546875" style="50" customWidth="1"/>
    <col min="11" max="242" width="9.109375" style="50"/>
    <col min="243" max="243" width="5.44140625" style="50" customWidth="1"/>
    <col min="244" max="498" width="9.109375" style="50"/>
    <col min="499" max="499" width="5.44140625" style="50" customWidth="1"/>
    <col min="500" max="754" width="9.109375" style="50"/>
    <col min="755" max="755" width="5.44140625" style="50" customWidth="1"/>
    <col min="756" max="1010" width="9.109375" style="50"/>
    <col min="1011" max="1011" width="5.44140625" style="50" customWidth="1"/>
    <col min="1012" max="1266" width="9.109375" style="50"/>
    <col min="1267" max="1267" width="5.44140625" style="50" customWidth="1"/>
    <col min="1268" max="1522" width="9.109375" style="50"/>
    <col min="1523" max="1523" width="5.44140625" style="50" customWidth="1"/>
    <col min="1524" max="1778" width="9.109375" style="50"/>
    <col min="1779" max="1779" width="5.44140625" style="50" customWidth="1"/>
    <col min="1780" max="2034" width="9.109375" style="50"/>
    <col min="2035" max="2035" width="5.44140625" style="50" customWidth="1"/>
    <col min="2036" max="2290" width="9.109375" style="50"/>
    <col min="2291" max="2291" width="5.44140625" style="50" customWidth="1"/>
    <col min="2292" max="2546" width="9.109375" style="50"/>
    <col min="2547" max="2547" width="5.44140625" style="50" customWidth="1"/>
    <col min="2548" max="2802" width="9.109375" style="50"/>
    <col min="2803" max="2803" width="5.44140625" style="50" customWidth="1"/>
    <col min="2804" max="3058" width="9.109375" style="50"/>
    <col min="3059" max="3059" width="5.44140625" style="50" customWidth="1"/>
    <col min="3060" max="3314" width="9.109375" style="50"/>
    <col min="3315" max="3315" width="5.44140625" style="50" customWidth="1"/>
    <col min="3316" max="3570" width="9.109375" style="50"/>
    <col min="3571" max="3571" width="5.44140625" style="50" customWidth="1"/>
    <col min="3572" max="3826" width="9.109375" style="50"/>
    <col min="3827" max="3827" width="5.44140625" style="50" customWidth="1"/>
    <col min="3828" max="4082" width="9.109375" style="50"/>
    <col min="4083" max="4083" width="5.44140625" style="50" customWidth="1"/>
    <col min="4084" max="4338" width="9.109375" style="50"/>
    <col min="4339" max="4339" width="5.44140625" style="50" customWidth="1"/>
    <col min="4340" max="4594" width="9.109375" style="50"/>
    <col min="4595" max="4595" width="5.44140625" style="50" customWidth="1"/>
    <col min="4596" max="4850" width="9.109375" style="50"/>
    <col min="4851" max="4851" width="5.44140625" style="50" customWidth="1"/>
    <col min="4852" max="5106" width="9.109375" style="50"/>
    <col min="5107" max="5107" width="5.44140625" style="50" customWidth="1"/>
    <col min="5108" max="5362" width="9.109375" style="50"/>
    <col min="5363" max="5363" width="5.44140625" style="50" customWidth="1"/>
    <col min="5364" max="5618" width="9.109375" style="50"/>
    <col min="5619" max="5619" width="5.44140625" style="50" customWidth="1"/>
    <col min="5620" max="5874" width="9.109375" style="50"/>
    <col min="5875" max="5875" width="5.44140625" style="50" customWidth="1"/>
    <col min="5876" max="6130" width="9.109375" style="50"/>
    <col min="6131" max="6131" width="5.44140625" style="50" customWidth="1"/>
    <col min="6132" max="6386" width="9.109375" style="50"/>
    <col min="6387" max="6387" width="5.44140625" style="50" customWidth="1"/>
    <col min="6388" max="6642" width="9.109375" style="50"/>
    <col min="6643" max="6643" width="5.44140625" style="50" customWidth="1"/>
    <col min="6644" max="6898" width="9.109375" style="50"/>
    <col min="6899" max="6899" width="5.44140625" style="50" customWidth="1"/>
    <col min="6900" max="7154" width="9.109375" style="50"/>
    <col min="7155" max="7155" width="5.44140625" style="50" customWidth="1"/>
    <col min="7156" max="7410" width="9.109375" style="50"/>
    <col min="7411" max="7411" width="5.44140625" style="50" customWidth="1"/>
    <col min="7412" max="7666" width="9.109375" style="50"/>
    <col min="7667" max="7667" width="5.44140625" style="50" customWidth="1"/>
    <col min="7668" max="7922" width="9.109375" style="50"/>
    <col min="7923" max="7923" width="5.44140625" style="50" customWidth="1"/>
    <col min="7924" max="8178" width="9.109375" style="50"/>
    <col min="8179" max="8179" width="5.44140625" style="50" customWidth="1"/>
    <col min="8180" max="8434" width="9.109375" style="50"/>
    <col min="8435" max="8435" width="5.44140625" style="50" customWidth="1"/>
    <col min="8436" max="8690" width="9.109375" style="50"/>
    <col min="8691" max="8691" width="5.44140625" style="50" customWidth="1"/>
    <col min="8692" max="8946" width="9.109375" style="50"/>
    <col min="8947" max="8947" width="5.44140625" style="50" customWidth="1"/>
    <col min="8948" max="9202" width="9.109375" style="50"/>
    <col min="9203" max="9203" width="5.44140625" style="50" customWidth="1"/>
    <col min="9204" max="9458" width="9.109375" style="50"/>
    <col min="9459" max="9459" width="5.44140625" style="50" customWidth="1"/>
    <col min="9460" max="9714" width="9.109375" style="50"/>
    <col min="9715" max="9715" width="5.44140625" style="50" customWidth="1"/>
    <col min="9716" max="9970" width="9.109375" style="50"/>
    <col min="9971" max="9971" width="5.44140625" style="50" customWidth="1"/>
    <col min="9972" max="10226" width="9.109375" style="50"/>
    <col min="10227" max="10227" width="5.44140625" style="50" customWidth="1"/>
    <col min="10228" max="10482" width="9.109375" style="50"/>
    <col min="10483" max="10483" width="5.44140625" style="50" customWidth="1"/>
    <col min="10484" max="10738" width="9.109375" style="50"/>
    <col min="10739" max="10739" width="5.44140625" style="50" customWidth="1"/>
    <col min="10740" max="10994" width="9.109375" style="50"/>
    <col min="10995" max="10995" width="5.44140625" style="50" customWidth="1"/>
    <col min="10996" max="11250" width="9.109375" style="50"/>
    <col min="11251" max="11251" width="5.44140625" style="50" customWidth="1"/>
    <col min="11252" max="11506" width="9.109375" style="50"/>
    <col min="11507" max="11507" width="5.44140625" style="50" customWidth="1"/>
    <col min="11508" max="11762" width="9.109375" style="50"/>
    <col min="11763" max="11763" width="5.44140625" style="50" customWidth="1"/>
    <col min="11764" max="12018" width="9.109375" style="50"/>
    <col min="12019" max="12019" width="5.44140625" style="50" customWidth="1"/>
    <col min="12020" max="12274" width="9.109375" style="50"/>
    <col min="12275" max="12275" width="5.44140625" style="50" customWidth="1"/>
    <col min="12276" max="12530" width="9.109375" style="50"/>
    <col min="12531" max="12531" width="5.44140625" style="50" customWidth="1"/>
    <col min="12532" max="12786" width="9.109375" style="50"/>
    <col min="12787" max="12787" width="5.44140625" style="50" customWidth="1"/>
    <col min="12788" max="13042" width="9.109375" style="50"/>
    <col min="13043" max="13043" width="5.44140625" style="50" customWidth="1"/>
    <col min="13044" max="13298" width="9.109375" style="50"/>
    <col min="13299" max="13299" width="5.44140625" style="50" customWidth="1"/>
    <col min="13300" max="13554" width="9.109375" style="50"/>
    <col min="13555" max="13555" width="5.44140625" style="50" customWidth="1"/>
    <col min="13556" max="13810" width="9.109375" style="50"/>
    <col min="13811" max="13811" width="5.44140625" style="50" customWidth="1"/>
    <col min="13812" max="14066" width="9.109375" style="50"/>
    <col min="14067" max="14067" width="5.44140625" style="50" customWidth="1"/>
    <col min="14068" max="14322" width="9.109375" style="50"/>
    <col min="14323" max="14323" width="5.44140625" style="50" customWidth="1"/>
    <col min="14324" max="14578" width="9.109375" style="50"/>
    <col min="14579" max="14579" width="5.44140625" style="50" customWidth="1"/>
    <col min="14580" max="14834" width="9.109375" style="50"/>
    <col min="14835" max="14835" width="5.44140625" style="50" customWidth="1"/>
    <col min="14836" max="15090" width="9.109375" style="50"/>
    <col min="15091" max="15091" width="5.44140625" style="50" customWidth="1"/>
    <col min="15092" max="15346" width="9.109375" style="50"/>
    <col min="15347" max="15347" width="5.44140625" style="50" customWidth="1"/>
    <col min="15348" max="15602" width="9.109375" style="50"/>
    <col min="15603" max="15603" width="5.44140625" style="50" customWidth="1"/>
    <col min="15604" max="15858" width="9.109375" style="50"/>
    <col min="15859" max="15859" width="5.44140625" style="50" customWidth="1"/>
    <col min="15860" max="16114" width="9.109375" style="50"/>
    <col min="16115" max="16115" width="5.44140625" style="50" customWidth="1"/>
    <col min="16116" max="16384" width="9.109375" style="50"/>
  </cols>
  <sheetData>
    <row r="1" spans="1:9" ht="15.75" customHeight="1">
      <c r="I1" s="51" t="s">
        <v>65</v>
      </c>
    </row>
    <row r="2" spans="1:9" ht="18.75" customHeight="1">
      <c r="I2" s="51" t="s">
        <v>43</v>
      </c>
    </row>
    <row r="3" spans="1:9" ht="51" customHeight="1">
      <c r="A3" s="432" t="s">
        <v>411</v>
      </c>
      <c r="B3" s="432"/>
      <c r="C3" s="432"/>
      <c r="D3" s="432"/>
      <c r="E3" s="432"/>
      <c r="F3" s="432"/>
      <c r="G3" s="432"/>
      <c r="H3" s="432"/>
      <c r="I3" s="432"/>
    </row>
    <row r="4" spans="1:9" ht="6.75" customHeight="1">
      <c r="A4" s="103"/>
      <c r="B4" s="103"/>
      <c r="C4" s="103"/>
      <c r="D4" s="103"/>
      <c r="E4" s="103"/>
      <c r="F4" s="103"/>
      <c r="G4" s="103"/>
      <c r="H4" s="103"/>
      <c r="I4" s="103"/>
    </row>
    <row r="5" spans="1:9" ht="29.25" customHeight="1">
      <c r="A5" s="433" t="s">
        <v>412</v>
      </c>
      <c r="B5" s="433"/>
      <c r="C5" s="433"/>
      <c r="D5" s="433"/>
      <c r="E5" s="433"/>
      <c r="F5" s="433"/>
      <c r="G5" s="433"/>
      <c r="H5" s="433"/>
      <c r="I5" s="433"/>
    </row>
    <row r="6" spans="1:9" ht="7.5" customHeight="1">
      <c r="A6" s="268"/>
      <c r="B6" s="268"/>
      <c r="C6" s="268"/>
      <c r="D6" s="268"/>
      <c r="E6" s="268"/>
      <c r="F6" s="268"/>
      <c r="G6" s="268"/>
      <c r="H6" s="268"/>
      <c r="I6" s="268"/>
    </row>
    <row r="7" spans="1:9" ht="18">
      <c r="B7" s="52" t="s">
        <v>413</v>
      </c>
      <c r="C7" s="53"/>
      <c r="D7" s="53"/>
    </row>
    <row r="8" spans="1:9" ht="8.25" customHeight="1">
      <c r="B8" s="54"/>
    </row>
    <row r="9" spans="1:9" ht="14.25" customHeight="1">
      <c r="B9" s="54" t="s">
        <v>67</v>
      </c>
    </row>
    <row r="10" spans="1:9" ht="16.5" customHeight="1">
      <c r="B10" s="434" t="s">
        <v>414</v>
      </c>
      <c r="C10" s="434"/>
      <c r="D10" s="434"/>
      <c r="E10" s="434"/>
      <c r="F10" s="434"/>
      <c r="G10" s="434"/>
      <c r="H10" s="434"/>
      <c r="I10" s="434"/>
    </row>
    <row r="11" spans="1:9" ht="15.75" customHeight="1">
      <c r="B11" s="434" t="s">
        <v>415</v>
      </c>
      <c r="C11" s="434"/>
      <c r="D11" s="434"/>
      <c r="E11" s="434"/>
      <c r="F11" s="434"/>
      <c r="G11" s="434"/>
      <c r="H11" s="434"/>
      <c r="I11" s="434"/>
    </row>
    <row r="12" spans="1:9" ht="13.5" customHeight="1">
      <c r="B12" s="434" t="s">
        <v>416</v>
      </c>
      <c r="C12" s="434"/>
      <c r="D12" s="434"/>
      <c r="E12" s="434"/>
      <c r="F12" s="434"/>
      <c r="G12" s="434"/>
      <c r="H12" s="434"/>
      <c r="I12" s="434"/>
    </row>
    <row r="13" spans="1:9" ht="13.5" customHeight="1">
      <c r="B13" s="434" t="s">
        <v>417</v>
      </c>
      <c r="C13" s="434"/>
      <c r="D13" s="434"/>
      <c r="E13" s="434"/>
      <c r="F13" s="434"/>
      <c r="G13" s="434"/>
      <c r="H13" s="434"/>
      <c r="I13" s="434"/>
    </row>
    <row r="14" spans="1:9" ht="27.75" customHeight="1">
      <c r="B14" s="433" t="s">
        <v>418</v>
      </c>
      <c r="C14" s="433"/>
      <c r="D14" s="433"/>
      <c r="E14" s="433"/>
      <c r="F14" s="433"/>
      <c r="G14" s="433"/>
      <c r="H14" s="433"/>
      <c r="I14" s="433"/>
    </row>
    <row r="15" spans="1:9" ht="5.25" customHeight="1">
      <c r="A15" s="55"/>
      <c r="B15" s="434"/>
      <c r="C15" s="434"/>
      <c r="D15" s="434"/>
      <c r="E15" s="56"/>
      <c r="F15" s="56"/>
      <c r="G15" s="56"/>
      <c r="H15" s="56"/>
      <c r="I15" s="56"/>
    </row>
    <row r="16" spans="1:9" ht="27" customHeight="1">
      <c r="A16" s="433" t="s">
        <v>419</v>
      </c>
      <c r="B16" s="433"/>
      <c r="C16" s="433"/>
      <c r="D16" s="433"/>
      <c r="E16" s="433"/>
      <c r="F16" s="433"/>
      <c r="G16" s="433"/>
      <c r="H16" s="433"/>
      <c r="I16" s="433"/>
    </row>
    <row r="17" spans="1:9" ht="5.25" customHeight="1">
      <c r="B17" s="54"/>
    </row>
    <row r="18" spans="1:9" ht="18">
      <c r="B18" s="52" t="s">
        <v>420</v>
      </c>
      <c r="C18" s="269"/>
      <c r="D18" s="269"/>
      <c r="E18" s="269"/>
      <c r="F18" s="269"/>
      <c r="G18" s="269"/>
    </row>
    <row r="19" spans="1:9" ht="5.25" customHeight="1">
      <c r="B19" s="269"/>
      <c r="C19" s="269"/>
      <c r="D19" s="269"/>
      <c r="E19" s="269"/>
    </row>
    <row r="20" spans="1:9">
      <c r="B20" s="54" t="s">
        <v>67</v>
      </c>
    </row>
    <row r="21" spans="1:9" ht="24.75" customHeight="1">
      <c r="B21" s="433" t="s">
        <v>421</v>
      </c>
      <c r="C21" s="433"/>
      <c r="D21" s="433"/>
      <c r="E21" s="433"/>
      <c r="F21" s="433"/>
      <c r="G21" s="433"/>
      <c r="H21" s="433"/>
      <c r="I21" s="433"/>
    </row>
    <row r="22" spans="1:9" ht="15.75" customHeight="1">
      <c r="B22" s="434" t="s">
        <v>422</v>
      </c>
      <c r="C22" s="434"/>
      <c r="D22" s="434"/>
      <c r="E22" s="434"/>
      <c r="F22" s="434"/>
      <c r="G22" s="434"/>
      <c r="H22" s="434"/>
      <c r="I22" s="434"/>
    </row>
    <row r="23" spans="1:9" ht="24.75" customHeight="1">
      <c r="B23" s="431" t="s">
        <v>423</v>
      </c>
      <c r="C23" s="431"/>
      <c r="D23" s="431"/>
      <c r="E23" s="431"/>
      <c r="F23" s="431"/>
      <c r="G23" s="431"/>
      <c r="H23" s="431"/>
      <c r="I23" s="431"/>
    </row>
    <row r="24" spans="1:9" ht="3.75" customHeight="1"/>
    <row r="25" spans="1:9" ht="28.5" customHeight="1">
      <c r="A25" s="433" t="s">
        <v>424</v>
      </c>
      <c r="B25" s="433"/>
      <c r="C25" s="433"/>
      <c r="D25" s="433"/>
      <c r="E25" s="433"/>
      <c r="F25" s="433"/>
      <c r="G25" s="433"/>
      <c r="H25" s="433"/>
      <c r="I25" s="433"/>
    </row>
    <row r="26" spans="1:9" ht="6.75" customHeight="1"/>
    <row r="27" spans="1:9" ht="4.5" customHeight="1"/>
    <row r="28" spans="1:9" ht="17.25" customHeight="1">
      <c r="B28" s="436" t="s">
        <v>549</v>
      </c>
      <c r="C28" s="436"/>
      <c r="D28" s="436"/>
      <c r="E28" s="436"/>
      <c r="F28" s="436"/>
      <c r="G28" s="436"/>
      <c r="H28" s="436"/>
      <c r="I28" s="436"/>
    </row>
    <row r="29" spans="1:9" ht="6" customHeight="1">
      <c r="B29" s="270"/>
      <c r="C29" s="270"/>
      <c r="D29" s="270"/>
      <c r="E29" s="270"/>
      <c r="F29" s="270"/>
      <c r="G29" s="270"/>
      <c r="H29" s="270"/>
      <c r="I29" s="270"/>
    </row>
    <row r="30" spans="1:9" ht="13.5" customHeight="1">
      <c r="B30" s="50" t="s">
        <v>67</v>
      </c>
    </row>
    <row r="31" spans="1:9" ht="26.25" customHeight="1">
      <c r="B31" s="435" t="s">
        <v>377</v>
      </c>
      <c r="C31" s="435"/>
      <c r="D31" s="435"/>
      <c r="E31" s="435"/>
      <c r="F31" s="435"/>
      <c r="G31" s="435"/>
      <c r="H31" s="435"/>
      <c r="I31" s="435"/>
    </row>
    <row r="32" spans="1:9" ht="27" customHeight="1">
      <c r="B32" s="431" t="s">
        <v>425</v>
      </c>
      <c r="C32" s="431"/>
      <c r="D32" s="431"/>
      <c r="E32" s="431"/>
      <c r="F32" s="431"/>
      <c r="G32" s="431"/>
      <c r="H32" s="431"/>
      <c r="I32" s="431"/>
    </row>
    <row r="33" spans="1:9" ht="17.25" customHeight="1">
      <c r="B33" s="437" t="s">
        <v>550</v>
      </c>
      <c r="C33" s="437"/>
      <c r="D33" s="437"/>
      <c r="E33" s="437"/>
      <c r="F33" s="437"/>
      <c r="G33" s="437"/>
      <c r="H33" s="437"/>
      <c r="I33" s="437"/>
    </row>
    <row r="34" spans="1:9" ht="8.25" customHeight="1"/>
    <row r="35" spans="1:9" ht="54.75" customHeight="1">
      <c r="A35" s="433" t="s">
        <v>426</v>
      </c>
      <c r="B35" s="433"/>
      <c r="C35" s="433"/>
      <c r="D35" s="433"/>
      <c r="E35" s="433"/>
      <c r="F35" s="433"/>
      <c r="G35" s="433"/>
      <c r="H35" s="433"/>
      <c r="I35" s="433"/>
    </row>
    <row r="36" spans="1:9" ht="6.75" customHeight="1"/>
    <row r="37" spans="1:9" ht="21" customHeight="1">
      <c r="B37" s="58" t="s">
        <v>378</v>
      </c>
    </row>
    <row r="38" spans="1:9" s="53" customFormat="1" ht="9" customHeight="1">
      <c r="A38" s="50"/>
      <c r="B38" s="50"/>
      <c r="C38" s="50"/>
      <c r="D38" s="50"/>
      <c r="E38" s="50"/>
      <c r="F38" s="50"/>
      <c r="G38" s="50"/>
      <c r="H38" s="50"/>
      <c r="I38" s="50"/>
    </row>
    <row r="39" spans="1:9" ht="22.5" customHeight="1">
      <c r="A39" s="438" t="s">
        <v>427</v>
      </c>
      <c r="B39" s="438"/>
      <c r="C39" s="438"/>
      <c r="D39" s="438"/>
      <c r="E39" s="438"/>
      <c r="F39" s="438"/>
      <c r="G39" s="438"/>
      <c r="H39" s="438"/>
      <c r="I39" s="438"/>
    </row>
    <row r="40" spans="1:9" ht="7.5" customHeight="1">
      <c r="E40" s="57"/>
    </row>
    <row r="41" spans="1:9" ht="18" customHeight="1">
      <c r="B41" s="57" t="s">
        <v>379</v>
      </c>
      <c r="C41" s="57"/>
      <c r="D41" s="57"/>
    </row>
    <row r="42" spans="1:9" ht="8.25" customHeight="1"/>
    <row r="43" spans="1:9" ht="27" customHeight="1">
      <c r="B43" s="433" t="s">
        <v>428</v>
      </c>
      <c r="C43" s="433"/>
      <c r="D43" s="433"/>
      <c r="E43" s="433"/>
      <c r="F43" s="433"/>
      <c r="G43" s="433"/>
      <c r="H43" s="433"/>
      <c r="I43" s="433"/>
    </row>
    <row r="44" spans="1:9">
      <c r="B44" s="433" t="s">
        <v>429</v>
      </c>
      <c r="C44" s="433"/>
      <c r="D44" s="433"/>
      <c r="E44" s="433"/>
      <c r="F44" s="433"/>
      <c r="G44" s="433"/>
      <c r="H44" s="433"/>
      <c r="I44" s="433"/>
    </row>
  </sheetData>
  <mergeCells count="21">
    <mergeCell ref="B44:I44"/>
    <mergeCell ref="B43:I43"/>
    <mergeCell ref="A25:I25"/>
    <mergeCell ref="B31:I31"/>
    <mergeCell ref="B32:I32"/>
    <mergeCell ref="B28:I28"/>
    <mergeCell ref="B33:I33"/>
    <mergeCell ref="A35:I35"/>
    <mergeCell ref="A39:I39"/>
    <mergeCell ref="B23:I23"/>
    <mergeCell ref="A3:I3"/>
    <mergeCell ref="A5:I5"/>
    <mergeCell ref="B10:I10"/>
    <mergeCell ref="B11:I11"/>
    <mergeCell ref="B12:I12"/>
    <mergeCell ref="B13:I13"/>
    <mergeCell ref="B14:I14"/>
    <mergeCell ref="B15:D15"/>
    <mergeCell ref="A16:I16"/>
    <mergeCell ref="B21:I21"/>
    <mergeCell ref="B22:I2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13"/>
  <sheetViews>
    <sheetView topLeftCell="A7" workbookViewId="0">
      <selection activeCell="K27" sqref="K27"/>
    </sheetView>
  </sheetViews>
  <sheetFormatPr defaultRowHeight="13.2"/>
  <cols>
    <col min="1" max="1" width="5.44140625" style="50" customWidth="1"/>
    <col min="2" max="8" width="9.109375" style="50"/>
    <col min="9" max="9" width="14.44140625" style="50" customWidth="1"/>
    <col min="10" max="10" width="9.6640625" style="50" customWidth="1"/>
    <col min="11" max="246" width="9.109375" style="50"/>
    <col min="247" max="247" width="5.44140625" style="50" customWidth="1"/>
    <col min="248" max="502" width="9.109375" style="50"/>
    <col min="503" max="503" width="5.44140625" style="50" customWidth="1"/>
    <col min="504" max="758" width="9.109375" style="50"/>
    <col min="759" max="759" width="5.44140625" style="50" customWidth="1"/>
    <col min="760" max="1014" width="9.109375" style="50"/>
    <col min="1015" max="1015" width="5.44140625" style="50" customWidth="1"/>
    <col min="1016" max="1270" width="9.109375" style="50"/>
    <col min="1271" max="1271" width="5.44140625" style="50" customWidth="1"/>
    <col min="1272" max="1526" width="9.109375" style="50"/>
    <col min="1527" max="1527" width="5.44140625" style="50" customWidth="1"/>
    <col min="1528" max="1782" width="9.109375" style="50"/>
    <col min="1783" max="1783" width="5.44140625" style="50" customWidth="1"/>
    <col min="1784" max="2038" width="9.109375" style="50"/>
    <col min="2039" max="2039" width="5.44140625" style="50" customWidth="1"/>
    <col min="2040" max="2294" width="9.109375" style="50"/>
    <col min="2295" max="2295" width="5.44140625" style="50" customWidth="1"/>
    <col min="2296" max="2550" width="9.109375" style="50"/>
    <col min="2551" max="2551" width="5.44140625" style="50" customWidth="1"/>
    <col min="2552" max="2806" width="9.109375" style="50"/>
    <col min="2807" max="2807" width="5.44140625" style="50" customWidth="1"/>
    <col min="2808" max="3062" width="9.109375" style="50"/>
    <col min="3063" max="3063" width="5.44140625" style="50" customWidth="1"/>
    <col min="3064" max="3318" width="9.109375" style="50"/>
    <col min="3319" max="3319" width="5.44140625" style="50" customWidth="1"/>
    <col min="3320" max="3574" width="9.109375" style="50"/>
    <col min="3575" max="3575" width="5.44140625" style="50" customWidth="1"/>
    <col min="3576" max="3830" width="9.109375" style="50"/>
    <col min="3831" max="3831" width="5.44140625" style="50" customWidth="1"/>
    <col min="3832" max="4086" width="9.109375" style="50"/>
    <col min="4087" max="4087" width="5.44140625" style="50" customWidth="1"/>
    <col min="4088" max="4342" width="9.109375" style="50"/>
    <col min="4343" max="4343" width="5.44140625" style="50" customWidth="1"/>
    <col min="4344" max="4598" width="9.109375" style="50"/>
    <col min="4599" max="4599" width="5.44140625" style="50" customWidth="1"/>
    <col min="4600" max="4854" width="9.109375" style="50"/>
    <col min="4855" max="4855" width="5.44140625" style="50" customWidth="1"/>
    <col min="4856" max="5110" width="9.109375" style="50"/>
    <col min="5111" max="5111" width="5.44140625" style="50" customWidth="1"/>
    <col min="5112" max="5366" width="9.109375" style="50"/>
    <col min="5367" max="5367" width="5.44140625" style="50" customWidth="1"/>
    <col min="5368" max="5622" width="9.109375" style="50"/>
    <col min="5623" max="5623" width="5.44140625" style="50" customWidth="1"/>
    <col min="5624" max="5878" width="9.109375" style="50"/>
    <col min="5879" max="5879" width="5.44140625" style="50" customWidth="1"/>
    <col min="5880" max="6134" width="9.109375" style="50"/>
    <col min="6135" max="6135" width="5.44140625" style="50" customWidth="1"/>
    <col min="6136" max="6390" width="9.109375" style="50"/>
    <col min="6391" max="6391" width="5.44140625" style="50" customWidth="1"/>
    <col min="6392" max="6646" width="9.109375" style="50"/>
    <col min="6647" max="6647" width="5.44140625" style="50" customWidth="1"/>
    <col min="6648" max="6902" width="9.109375" style="50"/>
    <col min="6903" max="6903" width="5.44140625" style="50" customWidth="1"/>
    <col min="6904" max="7158" width="9.109375" style="50"/>
    <col min="7159" max="7159" width="5.44140625" style="50" customWidth="1"/>
    <col min="7160" max="7414" width="9.109375" style="50"/>
    <col min="7415" max="7415" width="5.44140625" style="50" customWidth="1"/>
    <col min="7416" max="7670" width="9.109375" style="50"/>
    <col min="7671" max="7671" width="5.44140625" style="50" customWidth="1"/>
    <col min="7672" max="7926" width="9.109375" style="50"/>
    <col min="7927" max="7927" width="5.44140625" style="50" customWidth="1"/>
    <col min="7928" max="8182" width="9.109375" style="50"/>
    <col min="8183" max="8183" width="5.44140625" style="50" customWidth="1"/>
    <col min="8184" max="8438" width="9.109375" style="50"/>
    <col min="8439" max="8439" width="5.44140625" style="50" customWidth="1"/>
    <col min="8440" max="8694" width="9.109375" style="50"/>
    <col min="8695" max="8695" width="5.44140625" style="50" customWidth="1"/>
    <col min="8696" max="8950" width="9.109375" style="50"/>
    <col min="8951" max="8951" width="5.44140625" style="50" customWidth="1"/>
    <col min="8952" max="9206" width="9.109375" style="50"/>
    <col min="9207" max="9207" width="5.44140625" style="50" customWidth="1"/>
    <col min="9208" max="9462" width="9.109375" style="50"/>
    <col min="9463" max="9463" width="5.44140625" style="50" customWidth="1"/>
    <col min="9464" max="9718" width="9.109375" style="50"/>
    <col min="9719" max="9719" width="5.44140625" style="50" customWidth="1"/>
    <col min="9720" max="9974" width="9.109375" style="50"/>
    <col min="9975" max="9975" width="5.44140625" style="50" customWidth="1"/>
    <col min="9976" max="10230" width="9.109375" style="50"/>
    <col min="10231" max="10231" width="5.44140625" style="50" customWidth="1"/>
    <col min="10232" max="10486" width="9.109375" style="50"/>
    <col min="10487" max="10487" width="5.44140625" style="50" customWidth="1"/>
    <col min="10488" max="10742" width="9.109375" style="50"/>
    <col min="10743" max="10743" width="5.44140625" style="50" customWidth="1"/>
    <col min="10744" max="10998" width="9.109375" style="50"/>
    <col min="10999" max="10999" width="5.44140625" style="50" customWidth="1"/>
    <col min="11000" max="11254" width="9.109375" style="50"/>
    <col min="11255" max="11255" width="5.44140625" style="50" customWidth="1"/>
    <col min="11256" max="11510" width="9.109375" style="50"/>
    <col min="11511" max="11511" width="5.44140625" style="50" customWidth="1"/>
    <col min="11512" max="11766" width="9.109375" style="50"/>
    <col min="11767" max="11767" width="5.44140625" style="50" customWidth="1"/>
    <col min="11768" max="12022" width="9.109375" style="50"/>
    <col min="12023" max="12023" width="5.44140625" style="50" customWidth="1"/>
    <col min="12024" max="12278" width="9.109375" style="50"/>
    <col min="12279" max="12279" width="5.44140625" style="50" customWidth="1"/>
    <col min="12280" max="12534" width="9.109375" style="50"/>
    <col min="12535" max="12535" width="5.44140625" style="50" customWidth="1"/>
    <col min="12536" max="12790" width="9.109375" style="50"/>
    <col min="12791" max="12791" width="5.44140625" style="50" customWidth="1"/>
    <col min="12792" max="13046" width="9.109375" style="50"/>
    <col min="13047" max="13047" width="5.44140625" style="50" customWidth="1"/>
    <col min="13048" max="13302" width="9.109375" style="50"/>
    <col min="13303" max="13303" width="5.44140625" style="50" customWidth="1"/>
    <col min="13304" max="13558" width="9.109375" style="50"/>
    <col min="13559" max="13559" width="5.44140625" style="50" customWidth="1"/>
    <col min="13560" max="13814" width="9.109375" style="50"/>
    <col min="13815" max="13815" width="5.44140625" style="50" customWidth="1"/>
    <col min="13816" max="14070" width="9.109375" style="50"/>
    <col min="14071" max="14071" width="5.44140625" style="50" customWidth="1"/>
    <col min="14072" max="14326" width="9.109375" style="50"/>
    <col min="14327" max="14327" width="5.44140625" style="50" customWidth="1"/>
    <col min="14328" max="14582" width="9.109375" style="50"/>
    <col min="14583" max="14583" width="5.44140625" style="50" customWidth="1"/>
    <col min="14584" max="14838" width="9.109375" style="50"/>
    <col min="14839" max="14839" width="5.44140625" style="50" customWidth="1"/>
    <col min="14840" max="15094" width="9.109375" style="50"/>
    <col min="15095" max="15095" width="5.44140625" style="50" customWidth="1"/>
    <col min="15096" max="15350" width="9.109375" style="50"/>
    <col min="15351" max="15351" width="5.44140625" style="50" customWidth="1"/>
    <col min="15352" max="15606" width="9.109375" style="50"/>
    <col min="15607" max="15607" width="5.44140625" style="50" customWidth="1"/>
    <col min="15608" max="15862" width="9.109375" style="50"/>
    <col min="15863" max="15863" width="5.44140625" style="50" customWidth="1"/>
    <col min="15864" max="16118" width="9.109375" style="50"/>
    <col min="16119" max="16119" width="5.44140625" style="50" customWidth="1"/>
    <col min="16120" max="16384" width="9.109375" style="50"/>
  </cols>
  <sheetData>
    <row r="1" spans="1:18">
      <c r="I1" s="51" t="s">
        <v>65</v>
      </c>
    </row>
    <row r="2" spans="1:18">
      <c r="I2" s="51" t="s">
        <v>48</v>
      </c>
    </row>
    <row r="3" spans="1:18" ht="51" customHeight="1">
      <c r="A3" s="432" t="s">
        <v>430</v>
      </c>
      <c r="B3" s="432"/>
      <c r="C3" s="432"/>
      <c r="D3" s="432"/>
      <c r="E3" s="432"/>
      <c r="F3" s="432"/>
      <c r="G3" s="432"/>
      <c r="H3" s="432"/>
      <c r="I3" s="432"/>
    </row>
    <row r="4" spans="1:18" ht="29.25" customHeight="1">
      <c r="A4" s="433" t="s">
        <v>412</v>
      </c>
      <c r="B4" s="433"/>
      <c r="C4" s="433"/>
      <c r="D4" s="433"/>
      <c r="E4" s="433"/>
      <c r="F4" s="433"/>
      <c r="G4" s="433"/>
      <c r="H4" s="433"/>
      <c r="I4" s="433"/>
      <c r="P4" s="222"/>
    </row>
    <row r="5" spans="1:18" ht="7.5" customHeight="1">
      <c r="A5" s="268"/>
      <c r="B5" s="268"/>
      <c r="C5" s="268"/>
      <c r="D5" s="268"/>
      <c r="E5" s="268"/>
      <c r="F5" s="268"/>
      <c r="G5" s="268"/>
      <c r="H5" s="268"/>
      <c r="I5" s="268"/>
    </row>
    <row r="6" spans="1:18" ht="18">
      <c r="B6" s="52" t="s">
        <v>413</v>
      </c>
      <c r="C6" s="53"/>
      <c r="D6" s="53"/>
    </row>
    <row r="7" spans="1:18" ht="6.75" customHeight="1">
      <c r="B7" s="54"/>
    </row>
    <row r="8" spans="1:18">
      <c r="B8" s="54" t="s">
        <v>67</v>
      </c>
      <c r="L8" s="219"/>
      <c r="R8" s="219"/>
    </row>
    <row r="9" spans="1:18" ht="15.6">
      <c r="B9" s="434" t="s">
        <v>414</v>
      </c>
      <c r="C9" s="434"/>
      <c r="D9" s="434"/>
      <c r="E9" s="434"/>
      <c r="F9" s="434"/>
      <c r="G9" s="434"/>
      <c r="H9" s="434"/>
      <c r="I9" s="434"/>
    </row>
    <row r="10" spans="1:18">
      <c r="B10" s="434" t="s">
        <v>415</v>
      </c>
      <c r="C10" s="434"/>
      <c r="D10" s="434"/>
      <c r="E10" s="434"/>
      <c r="F10" s="434"/>
      <c r="G10" s="434"/>
      <c r="H10" s="434"/>
      <c r="I10" s="434"/>
    </row>
    <row r="11" spans="1:18">
      <c r="B11" s="434" t="s">
        <v>416</v>
      </c>
      <c r="C11" s="434"/>
      <c r="D11" s="434"/>
      <c r="E11" s="434"/>
      <c r="F11" s="434"/>
      <c r="G11" s="434"/>
      <c r="H11" s="434"/>
      <c r="I11" s="434"/>
      <c r="R11" s="223"/>
    </row>
    <row r="12" spans="1:18">
      <c r="B12" s="434" t="s">
        <v>417</v>
      </c>
      <c r="C12" s="434"/>
      <c r="D12" s="434"/>
      <c r="E12" s="434"/>
      <c r="F12" s="434"/>
      <c r="G12" s="434"/>
      <c r="H12" s="434"/>
      <c r="I12" s="434"/>
    </row>
    <row r="13" spans="1:18" ht="25.5" customHeight="1">
      <c r="B13" s="433" t="s">
        <v>418</v>
      </c>
      <c r="C13" s="433"/>
      <c r="D13" s="433"/>
      <c r="E13" s="433"/>
      <c r="F13" s="433"/>
      <c r="G13" s="433"/>
      <c r="H13" s="433"/>
      <c r="I13" s="433"/>
    </row>
    <row r="14" spans="1:18" ht="14.25" customHeight="1">
      <c r="A14" s="146"/>
      <c r="B14" s="192"/>
      <c r="C14" s="192"/>
      <c r="D14" s="146"/>
      <c r="E14" s="146"/>
      <c r="F14" s="146"/>
      <c r="G14" s="146"/>
      <c r="H14" s="146"/>
      <c r="I14" s="146"/>
      <c r="O14" s="220"/>
      <c r="P14" s="220"/>
    </row>
    <row r="15" spans="1:18" ht="27" customHeight="1">
      <c r="A15" s="433" t="s">
        <v>431</v>
      </c>
      <c r="B15" s="433"/>
      <c r="C15" s="433"/>
      <c r="D15" s="433"/>
      <c r="E15" s="433"/>
      <c r="F15" s="433"/>
      <c r="G15" s="433"/>
      <c r="H15" s="433"/>
      <c r="I15" s="433"/>
      <c r="O15" s="220"/>
      <c r="P15" s="220"/>
    </row>
    <row r="16" spans="1:18" ht="14.25" customHeight="1">
      <c r="A16" s="146"/>
      <c r="B16" s="192"/>
      <c r="C16" s="192"/>
      <c r="D16" s="146"/>
      <c r="E16" s="146"/>
      <c r="F16" s="146"/>
      <c r="G16" s="146"/>
      <c r="H16" s="146"/>
      <c r="I16" s="146"/>
      <c r="O16" s="220"/>
      <c r="P16" s="220"/>
    </row>
    <row r="17" spans="1:16" ht="18" customHeight="1">
      <c r="A17" s="146"/>
      <c r="B17" s="439" t="s">
        <v>432</v>
      </c>
      <c r="C17" s="439"/>
      <c r="D17" s="439"/>
      <c r="E17" s="439"/>
      <c r="F17" s="439"/>
      <c r="G17" s="439"/>
      <c r="L17" s="219"/>
      <c r="O17" s="220"/>
      <c r="P17" s="220"/>
    </row>
    <row r="18" spans="1:16" ht="18" customHeight="1">
      <c r="A18" s="146"/>
      <c r="B18" s="50" t="s">
        <v>67</v>
      </c>
      <c r="O18" s="220"/>
      <c r="P18" s="220"/>
    </row>
    <row r="19" spans="1:16" ht="28.5" customHeight="1">
      <c r="A19" s="146"/>
      <c r="B19" s="433" t="s">
        <v>433</v>
      </c>
      <c r="C19" s="433"/>
      <c r="D19" s="433"/>
      <c r="E19" s="433"/>
      <c r="F19" s="433"/>
      <c r="G19" s="433"/>
      <c r="H19" s="433"/>
      <c r="I19" s="433"/>
      <c r="L19" s="219"/>
      <c r="O19" s="220"/>
      <c r="P19" s="220"/>
    </row>
    <row r="20" spans="1:16" ht="23.25" customHeight="1">
      <c r="A20" s="146"/>
      <c r="B20" s="434" t="s">
        <v>434</v>
      </c>
      <c r="C20" s="434"/>
      <c r="D20" s="434"/>
      <c r="E20" s="434"/>
      <c r="F20" s="434"/>
      <c r="G20" s="434"/>
      <c r="H20" s="434"/>
      <c r="I20" s="434"/>
      <c r="O20" s="220"/>
      <c r="P20" s="220"/>
    </row>
    <row r="21" spans="1:16" ht="29.25" customHeight="1">
      <c r="A21" s="146"/>
      <c r="B21" s="433" t="s">
        <v>435</v>
      </c>
      <c r="C21" s="433"/>
      <c r="D21" s="433"/>
      <c r="E21" s="433"/>
      <c r="F21" s="433"/>
      <c r="G21" s="433"/>
      <c r="H21" s="433"/>
      <c r="I21" s="433"/>
      <c r="O21" s="220"/>
      <c r="P21" s="220"/>
    </row>
    <row r="22" spans="1:16" ht="18" customHeight="1">
      <c r="A22" s="146"/>
      <c r="B22" s="192"/>
      <c r="C22" s="192"/>
      <c r="D22" s="146"/>
      <c r="E22" s="146"/>
      <c r="F22" s="146"/>
      <c r="G22" s="146"/>
      <c r="H22" s="146"/>
      <c r="I22" s="146"/>
      <c r="O22" s="220"/>
      <c r="P22" s="220"/>
    </row>
    <row r="23" spans="1:16" ht="25.5" customHeight="1">
      <c r="A23" s="433" t="s">
        <v>436</v>
      </c>
      <c r="B23" s="433"/>
      <c r="C23" s="433"/>
      <c r="D23" s="433"/>
      <c r="E23" s="433"/>
      <c r="F23" s="433"/>
      <c r="G23" s="433"/>
      <c r="H23" s="433"/>
      <c r="I23" s="433"/>
      <c r="O23" s="220"/>
      <c r="P23" s="220"/>
    </row>
    <row r="24" spans="1:16" ht="18" customHeight="1">
      <c r="A24" s="146"/>
      <c r="B24" s="192"/>
      <c r="C24" s="192"/>
      <c r="D24" s="146"/>
      <c r="E24" s="146"/>
      <c r="F24" s="146"/>
      <c r="G24" s="146"/>
      <c r="H24" s="146"/>
      <c r="I24" s="146"/>
      <c r="L24" s="219"/>
      <c r="O24" s="220"/>
      <c r="P24" s="220"/>
    </row>
    <row r="25" spans="1:16" ht="18" customHeight="1">
      <c r="A25" s="146"/>
      <c r="B25" s="439" t="s">
        <v>551</v>
      </c>
      <c r="C25" s="439"/>
      <c r="D25" s="439"/>
      <c r="E25" s="439"/>
      <c r="F25" s="439"/>
      <c r="G25" s="439"/>
      <c r="O25" s="220"/>
      <c r="P25" s="220"/>
    </row>
    <row r="26" spans="1:16" ht="18" customHeight="1">
      <c r="A26" s="146"/>
      <c r="B26" s="50" t="s">
        <v>67</v>
      </c>
      <c r="L26" s="219"/>
      <c r="O26" s="220"/>
      <c r="P26" s="220"/>
    </row>
    <row r="27" spans="1:16" ht="26.25" customHeight="1">
      <c r="A27" s="146"/>
      <c r="B27" s="433" t="s">
        <v>380</v>
      </c>
      <c r="C27" s="433"/>
      <c r="D27" s="433"/>
      <c r="E27" s="433"/>
      <c r="F27" s="433"/>
      <c r="G27" s="433"/>
      <c r="H27" s="433"/>
      <c r="I27" s="433"/>
      <c r="O27" s="220"/>
      <c r="P27" s="220"/>
    </row>
    <row r="28" spans="1:16" ht="30.75" customHeight="1">
      <c r="A28" s="146"/>
      <c r="B28" s="433" t="s">
        <v>437</v>
      </c>
      <c r="C28" s="433"/>
      <c r="D28" s="433"/>
      <c r="E28" s="433"/>
      <c r="F28" s="433"/>
      <c r="G28" s="433"/>
      <c r="H28" s="433"/>
      <c r="I28" s="433"/>
      <c r="O28" s="220"/>
      <c r="P28" s="220"/>
    </row>
    <row r="29" spans="1:16" ht="30" customHeight="1">
      <c r="A29" s="146"/>
      <c r="B29" s="433" t="s">
        <v>552</v>
      </c>
      <c r="C29" s="433"/>
      <c r="D29" s="433"/>
      <c r="E29" s="433"/>
      <c r="F29" s="433"/>
      <c r="G29" s="433"/>
      <c r="H29" s="433"/>
      <c r="I29" s="433"/>
      <c r="O29" s="220"/>
      <c r="P29" s="220"/>
    </row>
    <row r="30" spans="1:16" ht="18" customHeight="1">
      <c r="A30" s="146"/>
      <c r="B30" s="192"/>
      <c r="C30" s="192"/>
      <c r="D30" s="146"/>
      <c r="E30" s="146"/>
      <c r="F30" s="146"/>
      <c r="G30" s="146"/>
      <c r="H30" s="146"/>
      <c r="I30" s="146"/>
      <c r="O30" s="220"/>
      <c r="P30" s="220"/>
    </row>
    <row r="31" spans="1:16" ht="23.25" customHeight="1">
      <c r="A31" s="433" t="s">
        <v>438</v>
      </c>
      <c r="B31" s="433"/>
      <c r="C31" s="433"/>
      <c r="D31" s="433"/>
      <c r="E31" s="433"/>
      <c r="F31" s="433"/>
      <c r="G31" s="433"/>
      <c r="H31" s="433"/>
      <c r="I31" s="433"/>
      <c r="O31" s="220"/>
      <c r="P31" s="220"/>
    </row>
    <row r="32" spans="1:16" ht="15.75" customHeight="1">
      <c r="A32" s="146"/>
      <c r="B32" s="192"/>
      <c r="C32" s="192"/>
      <c r="D32" s="146"/>
      <c r="E32" s="146"/>
      <c r="F32" s="146"/>
      <c r="G32" s="146"/>
      <c r="H32" s="146"/>
      <c r="I32" s="146"/>
      <c r="O32" s="220"/>
      <c r="P32" s="220"/>
    </row>
    <row r="33" spans="1:16" ht="18" customHeight="1">
      <c r="A33" s="146"/>
      <c r="B33" s="439" t="s">
        <v>439</v>
      </c>
      <c r="C33" s="439"/>
      <c r="D33" s="439"/>
      <c r="E33" s="439"/>
      <c r="F33" s="439"/>
      <c r="G33" s="439"/>
      <c r="O33" s="220"/>
      <c r="P33" s="220"/>
    </row>
    <row r="34" spans="1:16" ht="18" customHeight="1">
      <c r="A34" s="146"/>
      <c r="B34" s="50" t="s">
        <v>67</v>
      </c>
      <c r="L34" s="219"/>
      <c r="O34" s="220"/>
      <c r="P34" s="220"/>
    </row>
    <row r="35" spans="1:16" ht="24.75" customHeight="1">
      <c r="A35" s="146"/>
      <c r="B35" s="433" t="s">
        <v>440</v>
      </c>
      <c r="C35" s="433"/>
      <c r="D35" s="433"/>
      <c r="E35" s="433"/>
      <c r="F35" s="433"/>
      <c r="G35" s="433"/>
      <c r="H35" s="433"/>
      <c r="I35" s="433"/>
      <c r="O35" s="220"/>
      <c r="P35" s="220"/>
    </row>
    <row r="36" spans="1:16" ht="20.25" customHeight="1">
      <c r="A36" s="146"/>
      <c r="B36" s="434" t="s">
        <v>434</v>
      </c>
      <c r="C36" s="434"/>
      <c r="D36" s="434"/>
      <c r="E36" s="434"/>
      <c r="F36" s="434"/>
      <c r="G36" s="434"/>
      <c r="H36" s="434"/>
      <c r="I36" s="434"/>
      <c r="O36" s="220"/>
      <c r="P36" s="220"/>
    </row>
    <row r="37" spans="1:16" ht="28.5" customHeight="1">
      <c r="A37" s="146"/>
      <c r="B37" s="433" t="s">
        <v>441</v>
      </c>
      <c r="C37" s="433"/>
      <c r="D37" s="433"/>
      <c r="E37" s="433"/>
      <c r="F37" s="433"/>
      <c r="G37" s="433"/>
      <c r="H37" s="433"/>
      <c r="I37" s="433"/>
      <c r="O37" s="220"/>
      <c r="P37" s="220"/>
    </row>
    <row r="38" spans="1:16" ht="20.25" customHeight="1">
      <c r="A38" s="146"/>
      <c r="B38" s="268"/>
      <c r="C38" s="268"/>
      <c r="D38" s="268"/>
      <c r="E38" s="268"/>
      <c r="F38" s="268"/>
      <c r="G38" s="268"/>
      <c r="H38" s="268"/>
      <c r="I38" s="51" t="s">
        <v>65</v>
      </c>
      <c r="O38" s="220"/>
      <c r="P38" s="220"/>
    </row>
    <row r="39" spans="1:16" ht="18" customHeight="1">
      <c r="A39" s="146"/>
      <c r="B39" s="192"/>
      <c r="C39" s="192"/>
      <c r="D39" s="146"/>
      <c r="E39" s="146"/>
      <c r="F39" s="146"/>
      <c r="G39" s="146"/>
      <c r="H39" s="146"/>
      <c r="I39" s="51" t="s">
        <v>0</v>
      </c>
      <c r="O39" s="220"/>
      <c r="P39" s="220"/>
    </row>
    <row r="40" spans="1:16" ht="16.5" customHeight="1">
      <c r="A40" s="146"/>
      <c r="B40" s="192"/>
      <c r="C40" s="192"/>
      <c r="D40" s="146"/>
      <c r="E40" s="146"/>
      <c r="F40" s="146"/>
      <c r="G40" s="146"/>
      <c r="H40" s="146"/>
      <c r="I40" s="51"/>
      <c r="O40" s="220"/>
      <c r="P40" s="220"/>
    </row>
    <row r="41" spans="1:16" ht="30.75" customHeight="1">
      <c r="A41" s="433" t="s">
        <v>442</v>
      </c>
      <c r="B41" s="433"/>
      <c r="C41" s="433"/>
      <c r="D41" s="433"/>
      <c r="E41" s="433"/>
      <c r="F41" s="433"/>
      <c r="G41" s="433"/>
      <c r="H41" s="433"/>
      <c r="I41" s="433"/>
      <c r="O41" s="220"/>
      <c r="P41" s="220"/>
    </row>
    <row r="42" spans="1:16" ht="14.25" customHeight="1">
      <c r="A42" s="146"/>
      <c r="B42" s="192"/>
      <c r="C42" s="192"/>
      <c r="D42" s="146"/>
      <c r="E42" s="146"/>
      <c r="F42" s="146"/>
      <c r="G42" s="146"/>
      <c r="H42" s="146"/>
      <c r="I42" s="146"/>
      <c r="O42" s="220"/>
      <c r="P42" s="220"/>
    </row>
    <row r="43" spans="1:16" ht="18" customHeight="1">
      <c r="A43" s="146"/>
      <c r="B43" s="439" t="s">
        <v>443</v>
      </c>
      <c r="C43" s="439"/>
      <c r="D43" s="439"/>
      <c r="E43" s="439"/>
      <c r="F43" s="439"/>
      <c r="G43" s="439"/>
      <c r="O43" s="220"/>
      <c r="P43" s="220"/>
    </row>
    <row r="44" spans="1:16" ht="19.5" customHeight="1">
      <c r="A44" s="146"/>
      <c r="B44" s="50" t="s">
        <v>67</v>
      </c>
      <c r="O44" s="220"/>
      <c r="P44" s="220"/>
    </row>
    <row r="45" spans="1:16" ht="27.75" customHeight="1">
      <c r="A45" s="146"/>
      <c r="B45" s="433" t="s">
        <v>381</v>
      </c>
      <c r="C45" s="433"/>
      <c r="D45" s="433"/>
      <c r="E45" s="433"/>
      <c r="F45" s="433"/>
      <c r="G45" s="433"/>
      <c r="H45" s="433"/>
      <c r="I45" s="433"/>
      <c r="O45" s="220"/>
      <c r="P45" s="220"/>
    </row>
    <row r="46" spans="1:16" ht="27" customHeight="1">
      <c r="A46" s="146"/>
      <c r="B46" s="433" t="s">
        <v>444</v>
      </c>
      <c r="C46" s="433"/>
      <c r="D46" s="433"/>
      <c r="E46" s="433"/>
      <c r="F46" s="433"/>
      <c r="G46" s="433"/>
      <c r="H46" s="433"/>
      <c r="I46" s="433"/>
      <c r="O46" s="220"/>
      <c r="P46" s="220"/>
    </row>
    <row r="47" spans="1:16" ht="15.75" customHeight="1">
      <c r="A47" s="146"/>
      <c r="B47" s="433" t="s">
        <v>445</v>
      </c>
      <c r="C47" s="433"/>
      <c r="D47" s="433"/>
      <c r="E47" s="433"/>
      <c r="F47" s="433"/>
      <c r="G47" s="433"/>
      <c r="H47" s="433"/>
      <c r="I47" s="433"/>
      <c r="O47" s="220"/>
      <c r="P47" s="220"/>
    </row>
    <row r="48" spans="1:16" ht="15.75" customHeight="1">
      <c r="A48" s="146"/>
      <c r="B48" s="192"/>
      <c r="C48" s="192"/>
      <c r="D48" s="146"/>
      <c r="E48" s="146"/>
      <c r="F48" s="146"/>
      <c r="G48" s="146"/>
      <c r="H48" s="146"/>
      <c r="I48" s="146"/>
      <c r="O48" s="220"/>
      <c r="P48" s="220"/>
    </row>
    <row r="49" spans="1:16" ht="18" customHeight="1">
      <c r="A49" s="433" t="s">
        <v>446</v>
      </c>
      <c r="B49" s="433"/>
      <c r="C49" s="433"/>
      <c r="D49" s="433"/>
      <c r="E49" s="433"/>
      <c r="F49" s="433"/>
      <c r="G49" s="433"/>
      <c r="H49" s="433"/>
      <c r="I49" s="433"/>
      <c r="O49" s="220"/>
      <c r="P49" s="220"/>
    </row>
    <row r="50" spans="1:16" ht="18" customHeight="1">
      <c r="A50" s="146"/>
      <c r="B50" s="192"/>
      <c r="C50" s="192"/>
      <c r="D50" s="146"/>
      <c r="E50" s="146"/>
      <c r="F50" s="146"/>
      <c r="G50" s="146"/>
      <c r="H50" s="146"/>
      <c r="I50" s="146"/>
      <c r="O50" s="220"/>
      <c r="P50" s="220"/>
    </row>
    <row r="51" spans="1:16" ht="18" customHeight="1">
      <c r="A51" s="146"/>
      <c r="B51" s="439" t="s">
        <v>447</v>
      </c>
      <c r="C51" s="439"/>
      <c r="D51" s="439"/>
      <c r="E51" s="439"/>
      <c r="F51" s="439"/>
      <c r="G51" s="439"/>
      <c r="O51" s="220"/>
      <c r="P51" s="220"/>
    </row>
    <row r="52" spans="1:16" ht="21" customHeight="1">
      <c r="A52" s="146"/>
      <c r="B52" s="50" t="s">
        <v>67</v>
      </c>
      <c r="L52" s="219"/>
      <c r="O52" s="220"/>
      <c r="P52" s="220"/>
    </row>
    <row r="53" spans="1:16" ht="26.25" customHeight="1">
      <c r="A53" s="146"/>
      <c r="B53" s="433" t="s">
        <v>448</v>
      </c>
      <c r="C53" s="433"/>
      <c r="D53" s="433"/>
      <c r="E53" s="433"/>
      <c r="F53" s="433"/>
      <c r="G53" s="433"/>
      <c r="H53" s="433"/>
      <c r="I53" s="433"/>
      <c r="O53" s="220"/>
      <c r="P53" s="220"/>
    </row>
    <row r="54" spans="1:16" ht="21.75" customHeight="1">
      <c r="A54" s="146"/>
      <c r="B54" s="434" t="s">
        <v>434</v>
      </c>
      <c r="C54" s="434"/>
      <c r="D54" s="434"/>
      <c r="E54" s="434"/>
      <c r="F54" s="434"/>
      <c r="G54" s="434"/>
      <c r="H54" s="434"/>
      <c r="I54" s="434"/>
      <c r="O54" s="220"/>
      <c r="P54" s="220"/>
    </row>
    <row r="55" spans="1:16" ht="26.25" customHeight="1">
      <c r="A55" s="146"/>
      <c r="B55" s="433" t="s">
        <v>449</v>
      </c>
      <c r="C55" s="433"/>
      <c r="D55" s="433"/>
      <c r="E55" s="433"/>
      <c r="F55" s="433"/>
      <c r="G55" s="433"/>
      <c r="H55" s="433"/>
      <c r="I55" s="433"/>
      <c r="O55" s="220"/>
      <c r="P55" s="220"/>
    </row>
    <row r="56" spans="1:16" ht="18" customHeight="1">
      <c r="A56" s="146"/>
      <c r="B56" s="192"/>
      <c r="C56" s="192"/>
      <c r="D56" s="146"/>
      <c r="E56" s="146"/>
      <c r="F56" s="146"/>
      <c r="G56" s="146"/>
      <c r="H56" s="146"/>
      <c r="I56" s="146"/>
      <c r="O56" s="220"/>
      <c r="P56" s="220"/>
    </row>
    <row r="57" spans="1:16" ht="25.5" customHeight="1">
      <c r="A57" s="433" t="s">
        <v>450</v>
      </c>
      <c r="B57" s="433"/>
      <c r="C57" s="433"/>
      <c r="D57" s="433"/>
      <c r="E57" s="433"/>
      <c r="F57" s="433"/>
      <c r="G57" s="433"/>
      <c r="H57" s="433"/>
      <c r="I57" s="433"/>
      <c r="O57" s="220"/>
      <c r="P57" s="220"/>
    </row>
    <row r="58" spans="1:16" ht="18" customHeight="1">
      <c r="A58" s="146"/>
      <c r="B58" s="192"/>
      <c r="C58" s="192"/>
      <c r="D58" s="146"/>
      <c r="E58" s="146"/>
      <c r="F58" s="146"/>
      <c r="G58" s="146"/>
      <c r="H58" s="146"/>
      <c r="I58" s="146"/>
      <c r="O58" s="220"/>
      <c r="P58" s="220"/>
    </row>
    <row r="59" spans="1:16" ht="18" customHeight="1">
      <c r="A59" s="146"/>
      <c r="B59" s="439" t="s">
        <v>451</v>
      </c>
      <c r="C59" s="439"/>
      <c r="D59" s="439"/>
      <c r="E59" s="439"/>
      <c r="F59" s="439"/>
      <c r="G59" s="439"/>
      <c r="O59" s="220"/>
      <c r="P59" s="220"/>
    </row>
    <row r="60" spans="1:16" ht="19.5" customHeight="1">
      <c r="A60" s="146"/>
      <c r="B60" s="50" t="s">
        <v>67</v>
      </c>
      <c r="O60" s="220"/>
      <c r="P60" s="220"/>
    </row>
    <row r="61" spans="1:16" ht="27" customHeight="1">
      <c r="A61" s="146"/>
      <c r="B61" s="433" t="s">
        <v>382</v>
      </c>
      <c r="C61" s="433"/>
      <c r="D61" s="433"/>
      <c r="E61" s="433"/>
      <c r="F61" s="433"/>
      <c r="G61" s="433"/>
      <c r="H61" s="433"/>
      <c r="I61" s="433"/>
      <c r="O61" s="220"/>
      <c r="P61" s="220"/>
    </row>
    <row r="62" spans="1:16" ht="25.5" customHeight="1">
      <c r="A62" s="146"/>
      <c r="B62" s="433" t="s">
        <v>452</v>
      </c>
      <c r="C62" s="433"/>
      <c r="D62" s="433"/>
      <c r="E62" s="433"/>
      <c r="F62" s="433"/>
      <c r="G62" s="433"/>
      <c r="H62" s="433"/>
      <c r="I62" s="433"/>
      <c r="O62" s="220"/>
      <c r="P62" s="220"/>
    </row>
    <row r="63" spans="1:16" ht="24.75" customHeight="1">
      <c r="A63" s="146"/>
      <c r="B63" s="433" t="s">
        <v>453</v>
      </c>
      <c r="C63" s="433"/>
      <c r="D63" s="433"/>
      <c r="E63" s="433"/>
      <c r="F63" s="433"/>
      <c r="G63" s="433"/>
      <c r="H63" s="433"/>
      <c r="I63" s="433"/>
      <c r="O63" s="220"/>
      <c r="P63" s="220"/>
    </row>
    <row r="64" spans="1:16" ht="18" customHeight="1">
      <c r="A64" s="146"/>
      <c r="B64" s="192"/>
      <c r="C64" s="192"/>
      <c r="D64" s="146"/>
      <c r="E64" s="146"/>
      <c r="F64" s="146"/>
      <c r="G64" s="146"/>
      <c r="H64" s="146"/>
      <c r="I64" s="146"/>
      <c r="O64" s="220"/>
      <c r="P64" s="220"/>
    </row>
    <row r="65" spans="1:12" ht="25.5" customHeight="1">
      <c r="A65" s="431" t="s">
        <v>454</v>
      </c>
      <c r="B65" s="431"/>
      <c r="C65" s="431"/>
      <c r="D65" s="431"/>
      <c r="E65" s="431"/>
      <c r="F65" s="431"/>
      <c r="G65" s="431"/>
      <c r="H65" s="431"/>
      <c r="I65" s="431"/>
    </row>
    <row r="66" spans="1:12" ht="9.75" customHeight="1"/>
    <row r="67" spans="1:12" ht="18">
      <c r="B67" s="439" t="s">
        <v>455</v>
      </c>
      <c r="C67" s="439"/>
      <c r="D67" s="439"/>
      <c r="E67" s="439"/>
      <c r="F67" s="439"/>
      <c r="G67" s="439"/>
    </row>
    <row r="68" spans="1:12" ht="22.5" customHeight="1">
      <c r="B68" s="50" t="s">
        <v>67</v>
      </c>
    </row>
    <row r="69" spans="1:12" ht="25.5" customHeight="1">
      <c r="B69" s="433" t="s">
        <v>456</v>
      </c>
      <c r="C69" s="433"/>
      <c r="D69" s="433"/>
      <c r="E69" s="433"/>
      <c r="F69" s="433"/>
      <c r="G69" s="433"/>
      <c r="H69" s="433"/>
      <c r="I69" s="433"/>
    </row>
    <row r="70" spans="1:12" ht="15.6">
      <c r="B70" s="434" t="s">
        <v>434</v>
      </c>
      <c r="C70" s="434"/>
      <c r="D70" s="434"/>
      <c r="E70" s="434"/>
      <c r="F70" s="434"/>
      <c r="G70" s="434"/>
      <c r="H70" s="434"/>
      <c r="I70" s="434"/>
      <c r="L70" s="219"/>
    </row>
    <row r="71" spans="1:12" ht="27.75" customHeight="1">
      <c r="B71" s="433" t="s">
        <v>457</v>
      </c>
      <c r="C71" s="433"/>
      <c r="D71" s="433"/>
      <c r="E71" s="433"/>
      <c r="F71" s="433"/>
      <c r="G71" s="433"/>
      <c r="H71" s="433"/>
      <c r="I71" s="433"/>
      <c r="L71" s="222"/>
    </row>
    <row r="72" spans="1:12" ht="27.75" customHeight="1">
      <c r="B72" s="268"/>
      <c r="C72" s="268"/>
      <c r="D72" s="268"/>
      <c r="E72" s="268"/>
      <c r="F72" s="268"/>
      <c r="G72" s="268"/>
      <c r="H72" s="268"/>
      <c r="I72" s="268"/>
      <c r="L72" s="222"/>
    </row>
    <row r="73" spans="1:12" ht="15" customHeight="1"/>
    <row r="74" spans="1:12" ht="15" customHeight="1">
      <c r="I74" s="51" t="s">
        <v>65</v>
      </c>
    </row>
    <row r="75" spans="1:12" ht="15" customHeight="1">
      <c r="I75" s="51" t="s">
        <v>68</v>
      </c>
    </row>
    <row r="76" spans="1:12" ht="15" customHeight="1"/>
    <row r="77" spans="1:12" ht="27.75" customHeight="1">
      <c r="A77" s="433" t="s">
        <v>458</v>
      </c>
      <c r="B77" s="433"/>
      <c r="C77" s="433"/>
      <c r="D77" s="433"/>
      <c r="E77" s="433"/>
      <c r="F77" s="433"/>
      <c r="G77" s="433"/>
      <c r="H77" s="433"/>
      <c r="I77" s="433"/>
    </row>
    <row r="78" spans="1:12" ht="9.75" customHeight="1"/>
    <row r="79" spans="1:12" ht="17.25" customHeight="1">
      <c r="B79" s="439" t="s">
        <v>459</v>
      </c>
      <c r="C79" s="439"/>
      <c r="D79" s="439"/>
      <c r="E79" s="439"/>
      <c r="F79" s="439"/>
      <c r="G79" s="439"/>
    </row>
    <row r="80" spans="1:12" ht="13.5" customHeight="1">
      <c r="B80" s="50" t="s">
        <v>67</v>
      </c>
    </row>
    <row r="81" spans="1:15" ht="25.5" customHeight="1">
      <c r="B81" s="433" t="s">
        <v>383</v>
      </c>
      <c r="C81" s="433"/>
      <c r="D81" s="433"/>
      <c r="E81" s="433"/>
      <c r="F81" s="433"/>
      <c r="G81" s="433"/>
      <c r="H81" s="433"/>
      <c r="I81" s="433"/>
      <c r="L81" s="222"/>
    </row>
    <row r="82" spans="1:15" ht="24.75" customHeight="1">
      <c r="B82" s="433" t="s">
        <v>460</v>
      </c>
      <c r="C82" s="433"/>
      <c r="D82" s="433"/>
      <c r="E82" s="433"/>
      <c r="F82" s="433"/>
      <c r="G82" s="433"/>
      <c r="H82" s="433"/>
      <c r="I82" s="433"/>
      <c r="L82" s="219"/>
      <c r="O82" s="224"/>
    </row>
    <row r="83" spans="1:15" ht="27" customHeight="1">
      <c r="B83" s="433" t="s">
        <v>461</v>
      </c>
      <c r="C83" s="433"/>
      <c r="D83" s="433"/>
      <c r="E83" s="433"/>
      <c r="F83" s="433"/>
      <c r="G83" s="433"/>
      <c r="H83" s="433"/>
      <c r="I83" s="433"/>
      <c r="L83" s="225"/>
      <c r="O83" s="224"/>
    </row>
    <row r="84" spans="1:15" ht="6.75" customHeight="1"/>
    <row r="85" spans="1:15" ht="26.25" customHeight="1">
      <c r="A85" s="433" t="s">
        <v>462</v>
      </c>
      <c r="B85" s="433"/>
      <c r="C85" s="433"/>
      <c r="D85" s="433"/>
      <c r="E85" s="433"/>
      <c r="F85" s="433"/>
      <c r="G85" s="433"/>
      <c r="H85" s="433"/>
      <c r="I85" s="433"/>
    </row>
    <row r="86" spans="1:15" ht="9" customHeight="1"/>
    <row r="87" spans="1:15" ht="16.5" customHeight="1">
      <c r="B87" s="439" t="s">
        <v>463</v>
      </c>
      <c r="C87" s="439"/>
      <c r="D87" s="439"/>
      <c r="E87" s="439"/>
      <c r="F87" s="439"/>
      <c r="G87" s="439"/>
    </row>
    <row r="88" spans="1:15">
      <c r="B88" s="50" t="s">
        <v>67</v>
      </c>
    </row>
    <row r="89" spans="1:15" ht="27" customHeight="1">
      <c r="B89" s="433" t="s">
        <v>464</v>
      </c>
      <c r="C89" s="433"/>
      <c r="D89" s="433"/>
      <c r="E89" s="433"/>
      <c r="F89" s="433"/>
      <c r="G89" s="433"/>
      <c r="H89" s="433"/>
      <c r="I89" s="433"/>
      <c r="L89" s="222"/>
    </row>
    <row r="90" spans="1:15" ht="15.6">
      <c r="B90" s="434" t="s">
        <v>434</v>
      </c>
      <c r="C90" s="434"/>
      <c r="D90" s="434"/>
      <c r="E90" s="434"/>
      <c r="F90" s="434"/>
      <c r="G90" s="434"/>
      <c r="H90" s="434"/>
      <c r="I90" s="434"/>
    </row>
    <row r="91" spans="1:15" ht="26.25" customHeight="1">
      <c r="B91" s="433" t="s">
        <v>465</v>
      </c>
      <c r="C91" s="433"/>
      <c r="D91" s="433"/>
      <c r="E91" s="433"/>
      <c r="F91" s="433"/>
      <c r="G91" s="433"/>
      <c r="H91" s="433"/>
      <c r="I91" s="433"/>
    </row>
    <row r="92" spans="1:15" ht="9" customHeight="1"/>
    <row r="93" spans="1:15" ht="27.75" customHeight="1">
      <c r="A93" s="433" t="s">
        <v>466</v>
      </c>
      <c r="B93" s="433"/>
      <c r="C93" s="433"/>
      <c r="D93" s="433"/>
      <c r="E93" s="433"/>
      <c r="F93" s="433"/>
      <c r="G93" s="433"/>
      <c r="H93" s="433"/>
      <c r="I93" s="433"/>
    </row>
    <row r="94" spans="1:15" ht="14.25" customHeight="1">
      <c r="I94" s="51"/>
    </row>
    <row r="95" spans="1:15" ht="18">
      <c r="B95" s="57" t="s">
        <v>467</v>
      </c>
      <c r="C95" s="57"/>
      <c r="D95" s="57"/>
      <c r="E95" s="57"/>
    </row>
    <row r="96" spans="1:15">
      <c r="B96" s="50" t="s">
        <v>67</v>
      </c>
      <c r="M96" s="219"/>
    </row>
    <row r="97" spans="1:13" ht="40.5" customHeight="1">
      <c r="B97" s="433" t="s">
        <v>384</v>
      </c>
      <c r="C97" s="433"/>
      <c r="D97" s="433"/>
      <c r="E97" s="433"/>
      <c r="F97" s="433"/>
      <c r="G97" s="433"/>
      <c r="H97" s="433"/>
      <c r="I97" s="433"/>
      <c r="L97" s="221"/>
      <c r="M97" s="219"/>
    </row>
    <row r="98" spans="1:13" ht="30" customHeight="1">
      <c r="B98" s="433" t="s">
        <v>468</v>
      </c>
      <c r="C98" s="433"/>
      <c r="D98" s="433"/>
      <c r="E98" s="433"/>
      <c r="F98" s="433"/>
      <c r="G98" s="433"/>
      <c r="H98" s="433"/>
      <c r="I98" s="433"/>
    </row>
    <row r="99" spans="1:13" ht="28.5" customHeight="1">
      <c r="B99" s="433" t="s">
        <v>469</v>
      </c>
      <c r="C99" s="433"/>
      <c r="D99" s="433"/>
      <c r="E99" s="433"/>
      <c r="F99" s="433"/>
      <c r="G99" s="433"/>
      <c r="H99" s="433"/>
      <c r="I99" s="433"/>
    </row>
    <row r="101" spans="1:13" ht="36" customHeight="1">
      <c r="A101" s="441" t="s">
        <v>470</v>
      </c>
      <c r="B101" s="441"/>
      <c r="C101" s="441"/>
      <c r="D101" s="441"/>
      <c r="E101" s="441"/>
      <c r="F101" s="441"/>
      <c r="G101" s="441"/>
      <c r="H101" s="441"/>
      <c r="I101" s="441"/>
    </row>
    <row r="102" spans="1:13" ht="15.6">
      <c r="B102" s="52"/>
      <c r="C102" s="52"/>
      <c r="D102" s="52"/>
      <c r="E102" s="52"/>
      <c r="F102" s="52"/>
      <c r="G102" s="52"/>
      <c r="H102" s="52"/>
      <c r="I102" s="52"/>
    </row>
    <row r="103" spans="1:13" ht="15.75" customHeight="1">
      <c r="B103" s="52" t="s">
        <v>216</v>
      </c>
      <c r="C103" s="52"/>
      <c r="D103" s="52"/>
      <c r="E103" s="52"/>
      <c r="F103" s="52"/>
      <c r="G103" s="52"/>
      <c r="H103" s="52"/>
      <c r="I103" s="52"/>
    </row>
    <row r="104" spans="1:13" ht="6" customHeight="1">
      <c r="B104" s="57"/>
      <c r="C104" s="52"/>
      <c r="D104" s="52"/>
      <c r="E104" s="52"/>
      <c r="F104" s="52"/>
      <c r="G104" s="52"/>
      <c r="H104" s="52"/>
      <c r="I104" s="52"/>
    </row>
    <row r="105" spans="1:13" ht="15.75" customHeight="1">
      <c r="B105" s="57" t="s">
        <v>471</v>
      </c>
      <c r="C105" s="106"/>
      <c r="D105" s="106"/>
      <c r="E105" s="106"/>
      <c r="F105" s="52"/>
      <c r="G105" s="52"/>
      <c r="H105" s="52"/>
      <c r="I105" s="52"/>
    </row>
    <row r="106" spans="1:13" ht="15.75" customHeight="1">
      <c r="B106" s="57" t="s">
        <v>472</v>
      </c>
      <c r="C106" s="106"/>
      <c r="D106" s="106"/>
      <c r="E106" s="106"/>
      <c r="F106" s="52"/>
      <c r="G106" s="52"/>
      <c r="H106" s="52"/>
      <c r="I106" s="52"/>
    </row>
    <row r="107" spans="1:13" ht="15.75" customHeight="1">
      <c r="B107" s="57" t="s">
        <v>473</v>
      </c>
      <c r="C107" s="106"/>
      <c r="D107" s="106"/>
      <c r="E107" s="106"/>
      <c r="F107" s="52"/>
      <c r="G107" s="52"/>
      <c r="H107" s="52"/>
      <c r="I107" s="52"/>
    </row>
    <row r="108" spans="1:13" ht="15.75" customHeight="1">
      <c r="B108" s="106" t="s">
        <v>474</v>
      </c>
      <c r="C108" s="271"/>
      <c r="D108" s="271"/>
      <c r="E108" s="52"/>
      <c r="F108" s="52"/>
      <c r="G108" s="52"/>
      <c r="H108" s="52"/>
      <c r="I108" s="52"/>
    </row>
    <row r="109" spans="1:13" ht="12.75" customHeight="1">
      <c r="B109" s="440"/>
      <c r="C109" s="440"/>
      <c r="D109" s="440"/>
      <c r="E109" s="440"/>
      <c r="F109" s="440"/>
      <c r="G109" s="440"/>
      <c r="H109" s="440"/>
      <c r="I109" s="440"/>
    </row>
    <row r="110" spans="1:13" ht="28.5" customHeight="1">
      <c r="B110" s="440" t="s">
        <v>475</v>
      </c>
      <c r="C110" s="440"/>
      <c r="D110" s="440"/>
      <c r="E110" s="440"/>
      <c r="F110" s="440"/>
      <c r="G110" s="440"/>
      <c r="H110" s="440"/>
      <c r="I110" s="440"/>
    </row>
    <row r="111" spans="1:13" ht="15.6">
      <c r="B111" s="106"/>
      <c r="C111" s="106"/>
      <c r="D111" s="106"/>
      <c r="E111" s="106"/>
      <c r="F111" s="106"/>
      <c r="G111" s="106"/>
      <c r="H111" s="52"/>
      <c r="I111" s="52"/>
    </row>
    <row r="112" spans="1:13" ht="15.6">
      <c r="B112" s="57"/>
      <c r="C112" s="57" t="s">
        <v>476</v>
      </c>
      <c r="D112" s="57"/>
      <c r="E112" s="57"/>
      <c r="F112" s="57"/>
      <c r="G112" s="57"/>
      <c r="H112" s="57"/>
      <c r="I112" s="57"/>
    </row>
    <row r="113" spans="1:9" ht="15.6">
      <c r="A113" s="57"/>
      <c r="B113" s="57"/>
      <c r="C113" s="57"/>
      <c r="D113" s="57"/>
      <c r="E113" s="57"/>
      <c r="F113" s="57"/>
      <c r="G113" s="57"/>
      <c r="H113" s="57"/>
      <c r="I113" s="57"/>
    </row>
  </sheetData>
  <mergeCells count="59">
    <mergeCell ref="B99:I99"/>
    <mergeCell ref="A85:I85"/>
    <mergeCell ref="B109:I109"/>
    <mergeCell ref="B110:I110"/>
    <mergeCell ref="B71:I71"/>
    <mergeCell ref="A77:I77"/>
    <mergeCell ref="B79:G79"/>
    <mergeCell ref="B81:I81"/>
    <mergeCell ref="B82:I82"/>
    <mergeCell ref="A101:I101"/>
    <mergeCell ref="B97:I97"/>
    <mergeCell ref="B87:G87"/>
    <mergeCell ref="B89:I89"/>
    <mergeCell ref="B90:I90"/>
    <mergeCell ref="B83:I83"/>
    <mergeCell ref="B91:I91"/>
    <mergeCell ref="A93:I93"/>
    <mergeCell ref="B98:I98"/>
    <mergeCell ref="B63:I63"/>
    <mergeCell ref="A65:I65"/>
    <mergeCell ref="B67:G67"/>
    <mergeCell ref="B69:I69"/>
    <mergeCell ref="B70:I70"/>
    <mergeCell ref="B62:I62"/>
    <mergeCell ref="B45:I45"/>
    <mergeCell ref="B46:I46"/>
    <mergeCell ref="B47:I47"/>
    <mergeCell ref="A49:I49"/>
    <mergeCell ref="B51:G51"/>
    <mergeCell ref="B53:I53"/>
    <mergeCell ref="B54:I54"/>
    <mergeCell ref="B55:I55"/>
    <mergeCell ref="A57:I57"/>
    <mergeCell ref="B59:G59"/>
    <mergeCell ref="B61:I61"/>
    <mergeCell ref="B43:G43"/>
    <mergeCell ref="A23:I23"/>
    <mergeCell ref="B25:G25"/>
    <mergeCell ref="B27:I27"/>
    <mergeCell ref="B28:I28"/>
    <mergeCell ref="B29:I29"/>
    <mergeCell ref="A31:I31"/>
    <mergeCell ref="B33:G33"/>
    <mergeCell ref="B35:I35"/>
    <mergeCell ref="B36:I36"/>
    <mergeCell ref="B37:I37"/>
    <mergeCell ref="A41:I41"/>
    <mergeCell ref="B21:I21"/>
    <mergeCell ref="A3:I3"/>
    <mergeCell ref="A4:I4"/>
    <mergeCell ref="B9:I9"/>
    <mergeCell ref="B10:I10"/>
    <mergeCell ref="B11:I11"/>
    <mergeCell ref="B12:I12"/>
    <mergeCell ref="B13:I13"/>
    <mergeCell ref="A15:I15"/>
    <mergeCell ref="B17:G17"/>
    <mergeCell ref="B19:I19"/>
    <mergeCell ref="B20:I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5"/>
  <sheetViews>
    <sheetView tabSelected="1" zoomScaleNormal="100" workbookViewId="0">
      <selection activeCell="F11" sqref="F11"/>
    </sheetView>
  </sheetViews>
  <sheetFormatPr defaultRowHeight="13.2"/>
  <cols>
    <col min="1" max="1" width="17.6640625" style="63" customWidth="1"/>
    <col min="2" max="2" width="7.109375" style="63" customWidth="1"/>
    <col min="3" max="3" width="12.33203125" style="63" customWidth="1"/>
    <col min="4" max="6" width="12.109375" style="63" customWidth="1"/>
    <col min="7" max="7" width="10.88671875" style="63" customWidth="1"/>
    <col min="8" max="8" width="11" style="63" customWidth="1"/>
    <col min="9" max="250" width="9.109375" style="63"/>
    <col min="251" max="251" width="28.6640625" style="63" customWidth="1"/>
    <col min="252" max="252" width="6.33203125" style="63" customWidth="1"/>
    <col min="253" max="253" width="0" style="63" hidden="1" customWidth="1"/>
    <col min="254" max="254" width="9.33203125" style="63" customWidth="1"/>
    <col min="255" max="255" width="9.6640625" style="63" customWidth="1"/>
    <col min="256" max="256" width="9.88671875" style="63" customWidth="1"/>
    <col min="257" max="258" width="9.6640625" style="63" customWidth="1"/>
    <col min="259" max="259" width="10" style="63" customWidth="1"/>
    <col min="260" max="506" width="9.109375" style="63"/>
    <col min="507" max="507" width="28.6640625" style="63" customWidth="1"/>
    <col min="508" max="508" width="6.33203125" style="63" customWidth="1"/>
    <col min="509" max="509" width="0" style="63" hidden="1" customWidth="1"/>
    <col min="510" max="510" width="9.33203125" style="63" customWidth="1"/>
    <col min="511" max="511" width="9.6640625" style="63" customWidth="1"/>
    <col min="512" max="512" width="9.88671875" style="63" customWidth="1"/>
    <col min="513" max="514" width="9.6640625" style="63" customWidth="1"/>
    <col min="515" max="515" width="10" style="63" customWidth="1"/>
    <col min="516" max="762" width="9.109375" style="63"/>
    <col min="763" max="763" width="28.6640625" style="63" customWidth="1"/>
    <col min="764" max="764" width="6.33203125" style="63" customWidth="1"/>
    <col min="765" max="765" width="0" style="63" hidden="1" customWidth="1"/>
    <col min="766" max="766" width="9.33203125" style="63" customWidth="1"/>
    <col min="767" max="767" width="9.6640625" style="63" customWidth="1"/>
    <col min="768" max="768" width="9.88671875" style="63" customWidth="1"/>
    <col min="769" max="770" width="9.6640625" style="63" customWidth="1"/>
    <col min="771" max="771" width="10" style="63" customWidth="1"/>
    <col min="772" max="1018" width="9.109375" style="63"/>
    <col min="1019" max="1019" width="28.6640625" style="63" customWidth="1"/>
    <col min="1020" max="1020" width="6.33203125" style="63" customWidth="1"/>
    <col min="1021" max="1021" width="0" style="63" hidden="1" customWidth="1"/>
    <col min="1022" max="1022" width="9.33203125" style="63" customWidth="1"/>
    <col min="1023" max="1023" width="9.6640625" style="63" customWidth="1"/>
    <col min="1024" max="1024" width="9.88671875" style="63" customWidth="1"/>
    <col min="1025" max="1026" width="9.6640625" style="63" customWidth="1"/>
    <col min="1027" max="1027" width="10" style="63" customWidth="1"/>
    <col min="1028" max="1274" width="9.109375" style="63"/>
    <col min="1275" max="1275" width="28.6640625" style="63" customWidth="1"/>
    <col min="1276" max="1276" width="6.33203125" style="63" customWidth="1"/>
    <col min="1277" max="1277" width="0" style="63" hidden="1" customWidth="1"/>
    <col min="1278" max="1278" width="9.33203125" style="63" customWidth="1"/>
    <col min="1279" max="1279" width="9.6640625" style="63" customWidth="1"/>
    <col min="1280" max="1280" width="9.88671875" style="63" customWidth="1"/>
    <col min="1281" max="1282" width="9.6640625" style="63" customWidth="1"/>
    <col min="1283" max="1283" width="10" style="63" customWidth="1"/>
    <col min="1284" max="1530" width="9.109375" style="63"/>
    <col min="1531" max="1531" width="28.6640625" style="63" customWidth="1"/>
    <col min="1532" max="1532" width="6.33203125" style="63" customWidth="1"/>
    <col min="1533" max="1533" width="0" style="63" hidden="1" customWidth="1"/>
    <col min="1534" max="1534" width="9.33203125" style="63" customWidth="1"/>
    <col min="1535" max="1535" width="9.6640625" style="63" customWidth="1"/>
    <col min="1536" max="1536" width="9.88671875" style="63" customWidth="1"/>
    <col min="1537" max="1538" width="9.6640625" style="63" customWidth="1"/>
    <col min="1539" max="1539" width="10" style="63" customWidth="1"/>
    <col min="1540" max="1786" width="9.109375" style="63"/>
    <col min="1787" max="1787" width="28.6640625" style="63" customWidth="1"/>
    <col min="1788" max="1788" width="6.33203125" style="63" customWidth="1"/>
    <col min="1789" max="1789" width="0" style="63" hidden="1" customWidth="1"/>
    <col min="1790" max="1790" width="9.33203125" style="63" customWidth="1"/>
    <col min="1791" max="1791" width="9.6640625" style="63" customWidth="1"/>
    <col min="1792" max="1792" width="9.88671875" style="63" customWidth="1"/>
    <col min="1793" max="1794" width="9.6640625" style="63" customWidth="1"/>
    <col min="1795" max="1795" width="10" style="63" customWidth="1"/>
    <col min="1796" max="2042" width="9.109375" style="63"/>
    <col min="2043" max="2043" width="28.6640625" style="63" customWidth="1"/>
    <col min="2044" max="2044" width="6.33203125" style="63" customWidth="1"/>
    <col min="2045" max="2045" width="0" style="63" hidden="1" customWidth="1"/>
    <col min="2046" max="2046" width="9.33203125" style="63" customWidth="1"/>
    <col min="2047" max="2047" width="9.6640625" style="63" customWidth="1"/>
    <col min="2048" max="2048" width="9.88671875" style="63" customWidth="1"/>
    <col min="2049" max="2050" width="9.6640625" style="63" customWidth="1"/>
    <col min="2051" max="2051" width="10" style="63" customWidth="1"/>
    <col min="2052" max="2298" width="9.109375" style="63"/>
    <col min="2299" max="2299" width="28.6640625" style="63" customWidth="1"/>
    <col min="2300" max="2300" width="6.33203125" style="63" customWidth="1"/>
    <col min="2301" max="2301" width="0" style="63" hidden="1" customWidth="1"/>
    <col min="2302" max="2302" width="9.33203125" style="63" customWidth="1"/>
    <col min="2303" max="2303" width="9.6640625" style="63" customWidth="1"/>
    <col min="2304" max="2304" width="9.88671875" style="63" customWidth="1"/>
    <col min="2305" max="2306" width="9.6640625" style="63" customWidth="1"/>
    <col min="2307" max="2307" width="10" style="63" customWidth="1"/>
    <col min="2308" max="2554" width="9.109375" style="63"/>
    <col min="2555" max="2555" width="28.6640625" style="63" customWidth="1"/>
    <col min="2556" max="2556" width="6.33203125" style="63" customWidth="1"/>
    <col min="2557" max="2557" width="0" style="63" hidden="1" customWidth="1"/>
    <col min="2558" max="2558" width="9.33203125" style="63" customWidth="1"/>
    <col min="2559" max="2559" width="9.6640625" style="63" customWidth="1"/>
    <col min="2560" max="2560" width="9.88671875" style="63" customWidth="1"/>
    <col min="2561" max="2562" width="9.6640625" style="63" customWidth="1"/>
    <col min="2563" max="2563" width="10" style="63" customWidth="1"/>
    <col min="2564" max="2810" width="9.109375" style="63"/>
    <col min="2811" max="2811" width="28.6640625" style="63" customWidth="1"/>
    <col min="2812" max="2812" width="6.33203125" style="63" customWidth="1"/>
    <col min="2813" max="2813" width="0" style="63" hidden="1" customWidth="1"/>
    <col min="2814" max="2814" width="9.33203125" style="63" customWidth="1"/>
    <col min="2815" max="2815" width="9.6640625" style="63" customWidth="1"/>
    <col min="2816" max="2816" width="9.88671875" style="63" customWidth="1"/>
    <col min="2817" max="2818" width="9.6640625" style="63" customWidth="1"/>
    <col min="2819" max="2819" width="10" style="63" customWidth="1"/>
    <col min="2820" max="3066" width="9.109375" style="63"/>
    <col min="3067" max="3067" width="28.6640625" style="63" customWidth="1"/>
    <col min="3068" max="3068" width="6.33203125" style="63" customWidth="1"/>
    <col min="3069" max="3069" width="0" style="63" hidden="1" customWidth="1"/>
    <col min="3070" max="3070" width="9.33203125" style="63" customWidth="1"/>
    <col min="3071" max="3071" width="9.6640625" style="63" customWidth="1"/>
    <col min="3072" max="3072" width="9.88671875" style="63" customWidth="1"/>
    <col min="3073" max="3074" width="9.6640625" style="63" customWidth="1"/>
    <col min="3075" max="3075" width="10" style="63" customWidth="1"/>
    <col min="3076" max="3322" width="9.109375" style="63"/>
    <col min="3323" max="3323" width="28.6640625" style="63" customWidth="1"/>
    <col min="3324" max="3324" width="6.33203125" style="63" customWidth="1"/>
    <col min="3325" max="3325" width="0" style="63" hidden="1" customWidth="1"/>
    <col min="3326" max="3326" width="9.33203125" style="63" customWidth="1"/>
    <col min="3327" max="3327" width="9.6640625" style="63" customWidth="1"/>
    <col min="3328" max="3328" width="9.88671875" style="63" customWidth="1"/>
    <col min="3329" max="3330" width="9.6640625" style="63" customWidth="1"/>
    <col min="3331" max="3331" width="10" style="63" customWidth="1"/>
    <col min="3332" max="3578" width="9.109375" style="63"/>
    <col min="3579" max="3579" width="28.6640625" style="63" customWidth="1"/>
    <col min="3580" max="3580" width="6.33203125" style="63" customWidth="1"/>
    <col min="3581" max="3581" width="0" style="63" hidden="1" customWidth="1"/>
    <col min="3582" max="3582" width="9.33203125" style="63" customWidth="1"/>
    <col min="3583" max="3583" width="9.6640625" style="63" customWidth="1"/>
    <col min="3584" max="3584" width="9.88671875" style="63" customWidth="1"/>
    <col min="3585" max="3586" width="9.6640625" style="63" customWidth="1"/>
    <col min="3587" max="3587" width="10" style="63" customWidth="1"/>
    <col min="3588" max="3834" width="9.109375" style="63"/>
    <col min="3835" max="3835" width="28.6640625" style="63" customWidth="1"/>
    <col min="3836" max="3836" width="6.33203125" style="63" customWidth="1"/>
    <col min="3837" max="3837" width="0" style="63" hidden="1" customWidth="1"/>
    <col min="3838" max="3838" width="9.33203125" style="63" customWidth="1"/>
    <col min="3839" max="3839" width="9.6640625" style="63" customWidth="1"/>
    <col min="3840" max="3840" width="9.88671875" style="63" customWidth="1"/>
    <col min="3841" max="3842" width="9.6640625" style="63" customWidth="1"/>
    <col min="3843" max="3843" width="10" style="63" customWidth="1"/>
    <col min="3844" max="4090" width="9.109375" style="63"/>
    <col min="4091" max="4091" width="28.6640625" style="63" customWidth="1"/>
    <col min="4092" max="4092" width="6.33203125" style="63" customWidth="1"/>
    <col min="4093" max="4093" width="0" style="63" hidden="1" customWidth="1"/>
    <col min="4094" max="4094" width="9.33203125" style="63" customWidth="1"/>
    <col min="4095" max="4095" width="9.6640625" style="63" customWidth="1"/>
    <col min="4096" max="4096" width="9.88671875" style="63" customWidth="1"/>
    <col min="4097" max="4098" width="9.6640625" style="63" customWidth="1"/>
    <col min="4099" max="4099" width="10" style="63" customWidth="1"/>
    <col min="4100" max="4346" width="9.109375" style="63"/>
    <col min="4347" max="4347" width="28.6640625" style="63" customWidth="1"/>
    <col min="4348" max="4348" width="6.33203125" style="63" customWidth="1"/>
    <col min="4349" max="4349" width="0" style="63" hidden="1" customWidth="1"/>
    <col min="4350" max="4350" width="9.33203125" style="63" customWidth="1"/>
    <col min="4351" max="4351" width="9.6640625" style="63" customWidth="1"/>
    <col min="4352" max="4352" width="9.88671875" style="63" customWidth="1"/>
    <col min="4353" max="4354" width="9.6640625" style="63" customWidth="1"/>
    <col min="4355" max="4355" width="10" style="63" customWidth="1"/>
    <col min="4356" max="4602" width="9.109375" style="63"/>
    <col min="4603" max="4603" width="28.6640625" style="63" customWidth="1"/>
    <col min="4604" max="4604" width="6.33203125" style="63" customWidth="1"/>
    <col min="4605" max="4605" width="0" style="63" hidden="1" customWidth="1"/>
    <col min="4606" max="4606" width="9.33203125" style="63" customWidth="1"/>
    <col min="4607" max="4607" width="9.6640625" style="63" customWidth="1"/>
    <col min="4608" max="4608" width="9.88671875" style="63" customWidth="1"/>
    <col min="4609" max="4610" width="9.6640625" style="63" customWidth="1"/>
    <col min="4611" max="4611" width="10" style="63" customWidth="1"/>
    <col min="4612" max="4858" width="9.109375" style="63"/>
    <col min="4859" max="4859" width="28.6640625" style="63" customWidth="1"/>
    <col min="4860" max="4860" width="6.33203125" style="63" customWidth="1"/>
    <col min="4861" max="4861" width="0" style="63" hidden="1" customWidth="1"/>
    <col min="4862" max="4862" width="9.33203125" style="63" customWidth="1"/>
    <col min="4863" max="4863" width="9.6640625" style="63" customWidth="1"/>
    <col min="4864" max="4864" width="9.88671875" style="63" customWidth="1"/>
    <col min="4865" max="4866" width="9.6640625" style="63" customWidth="1"/>
    <col min="4867" max="4867" width="10" style="63" customWidth="1"/>
    <col min="4868" max="5114" width="9.109375" style="63"/>
    <col min="5115" max="5115" width="28.6640625" style="63" customWidth="1"/>
    <col min="5116" max="5116" width="6.33203125" style="63" customWidth="1"/>
    <col min="5117" max="5117" width="0" style="63" hidden="1" customWidth="1"/>
    <col min="5118" max="5118" width="9.33203125" style="63" customWidth="1"/>
    <col min="5119" max="5119" width="9.6640625" style="63" customWidth="1"/>
    <col min="5120" max="5120" width="9.88671875" style="63" customWidth="1"/>
    <col min="5121" max="5122" width="9.6640625" style="63" customWidth="1"/>
    <col min="5123" max="5123" width="10" style="63" customWidth="1"/>
    <col min="5124" max="5370" width="9.109375" style="63"/>
    <col min="5371" max="5371" width="28.6640625" style="63" customWidth="1"/>
    <col min="5372" max="5372" width="6.33203125" style="63" customWidth="1"/>
    <col min="5373" max="5373" width="0" style="63" hidden="1" customWidth="1"/>
    <col min="5374" max="5374" width="9.33203125" style="63" customWidth="1"/>
    <col min="5375" max="5375" width="9.6640625" style="63" customWidth="1"/>
    <col min="5376" max="5376" width="9.88671875" style="63" customWidth="1"/>
    <col min="5377" max="5378" width="9.6640625" style="63" customWidth="1"/>
    <col min="5379" max="5379" width="10" style="63" customWidth="1"/>
    <col min="5380" max="5626" width="9.109375" style="63"/>
    <col min="5627" max="5627" width="28.6640625" style="63" customWidth="1"/>
    <col min="5628" max="5628" width="6.33203125" style="63" customWidth="1"/>
    <col min="5629" max="5629" width="0" style="63" hidden="1" customWidth="1"/>
    <col min="5630" max="5630" width="9.33203125" style="63" customWidth="1"/>
    <col min="5631" max="5631" width="9.6640625" style="63" customWidth="1"/>
    <col min="5632" max="5632" width="9.88671875" style="63" customWidth="1"/>
    <col min="5633" max="5634" width="9.6640625" style="63" customWidth="1"/>
    <col min="5635" max="5635" width="10" style="63" customWidth="1"/>
    <col min="5636" max="5882" width="9.109375" style="63"/>
    <col min="5883" max="5883" width="28.6640625" style="63" customWidth="1"/>
    <col min="5884" max="5884" width="6.33203125" style="63" customWidth="1"/>
    <col min="5885" max="5885" width="0" style="63" hidden="1" customWidth="1"/>
    <col min="5886" max="5886" width="9.33203125" style="63" customWidth="1"/>
    <col min="5887" max="5887" width="9.6640625" style="63" customWidth="1"/>
    <col min="5888" max="5888" width="9.88671875" style="63" customWidth="1"/>
    <col min="5889" max="5890" width="9.6640625" style="63" customWidth="1"/>
    <col min="5891" max="5891" width="10" style="63" customWidth="1"/>
    <col min="5892" max="6138" width="9.109375" style="63"/>
    <col min="6139" max="6139" width="28.6640625" style="63" customWidth="1"/>
    <col min="6140" max="6140" width="6.33203125" style="63" customWidth="1"/>
    <col min="6141" max="6141" width="0" style="63" hidden="1" customWidth="1"/>
    <col min="6142" max="6142" width="9.33203125" style="63" customWidth="1"/>
    <col min="6143" max="6143" width="9.6640625" style="63" customWidth="1"/>
    <col min="6144" max="6144" width="9.88671875" style="63" customWidth="1"/>
    <col min="6145" max="6146" width="9.6640625" style="63" customWidth="1"/>
    <col min="6147" max="6147" width="10" style="63" customWidth="1"/>
    <col min="6148" max="6394" width="9.109375" style="63"/>
    <col min="6395" max="6395" width="28.6640625" style="63" customWidth="1"/>
    <col min="6396" max="6396" width="6.33203125" style="63" customWidth="1"/>
    <col min="6397" max="6397" width="0" style="63" hidden="1" customWidth="1"/>
    <col min="6398" max="6398" width="9.33203125" style="63" customWidth="1"/>
    <col min="6399" max="6399" width="9.6640625" style="63" customWidth="1"/>
    <col min="6400" max="6400" width="9.88671875" style="63" customWidth="1"/>
    <col min="6401" max="6402" width="9.6640625" style="63" customWidth="1"/>
    <col min="6403" max="6403" width="10" style="63" customWidth="1"/>
    <col min="6404" max="6650" width="9.109375" style="63"/>
    <col min="6651" max="6651" width="28.6640625" style="63" customWidth="1"/>
    <col min="6652" max="6652" width="6.33203125" style="63" customWidth="1"/>
    <col min="6653" max="6653" width="0" style="63" hidden="1" customWidth="1"/>
    <col min="6654" max="6654" width="9.33203125" style="63" customWidth="1"/>
    <col min="6655" max="6655" width="9.6640625" style="63" customWidth="1"/>
    <col min="6656" max="6656" width="9.88671875" style="63" customWidth="1"/>
    <col min="6657" max="6658" width="9.6640625" style="63" customWidth="1"/>
    <col min="6659" max="6659" width="10" style="63" customWidth="1"/>
    <col min="6660" max="6906" width="9.109375" style="63"/>
    <col min="6907" max="6907" width="28.6640625" style="63" customWidth="1"/>
    <col min="6908" max="6908" width="6.33203125" style="63" customWidth="1"/>
    <col min="6909" max="6909" width="0" style="63" hidden="1" customWidth="1"/>
    <col min="6910" max="6910" width="9.33203125" style="63" customWidth="1"/>
    <col min="6911" max="6911" width="9.6640625" style="63" customWidth="1"/>
    <col min="6912" max="6912" width="9.88671875" style="63" customWidth="1"/>
    <col min="6913" max="6914" width="9.6640625" style="63" customWidth="1"/>
    <col min="6915" max="6915" width="10" style="63" customWidth="1"/>
    <col min="6916" max="7162" width="9.109375" style="63"/>
    <col min="7163" max="7163" width="28.6640625" style="63" customWidth="1"/>
    <col min="7164" max="7164" width="6.33203125" style="63" customWidth="1"/>
    <col min="7165" max="7165" width="0" style="63" hidden="1" customWidth="1"/>
    <col min="7166" max="7166" width="9.33203125" style="63" customWidth="1"/>
    <col min="7167" max="7167" width="9.6640625" style="63" customWidth="1"/>
    <col min="7168" max="7168" width="9.88671875" style="63" customWidth="1"/>
    <col min="7169" max="7170" width="9.6640625" style="63" customWidth="1"/>
    <col min="7171" max="7171" width="10" style="63" customWidth="1"/>
    <col min="7172" max="7418" width="9.109375" style="63"/>
    <col min="7419" max="7419" width="28.6640625" style="63" customWidth="1"/>
    <col min="7420" max="7420" width="6.33203125" style="63" customWidth="1"/>
    <col min="7421" max="7421" width="0" style="63" hidden="1" customWidth="1"/>
    <col min="7422" max="7422" width="9.33203125" style="63" customWidth="1"/>
    <col min="7423" max="7423" width="9.6640625" style="63" customWidth="1"/>
    <col min="7424" max="7424" width="9.88671875" style="63" customWidth="1"/>
    <col min="7425" max="7426" width="9.6640625" style="63" customWidth="1"/>
    <col min="7427" max="7427" width="10" style="63" customWidth="1"/>
    <col min="7428" max="7674" width="9.109375" style="63"/>
    <col min="7675" max="7675" width="28.6640625" style="63" customWidth="1"/>
    <col min="7676" max="7676" width="6.33203125" style="63" customWidth="1"/>
    <col min="7677" max="7677" width="0" style="63" hidden="1" customWidth="1"/>
    <col min="7678" max="7678" width="9.33203125" style="63" customWidth="1"/>
    <col min="7679" max="7679" width="9.6640625" style="63" customWidth="1"/>
    <col min="7680" max="7680" width="9.88671875" style="63" customWidth="1"/>
    <col min="7681" max="7682" width="9.6640625" style="63" customWidth="1"/>
    <col min="7683" max="7683" width="10" style="63" customWidth="1"/>
    <col min="7684" max="7930" width="9.109375" style="63"/>
    <col min="7931" max="7931" width="28.6640625" style="63" customWidth="1"/>
    <col min="7932" max="7932" width="6.33203125" style="63" customWidth="1"/>
    <col min="7933" max="7933" width="0" style="63" hidden="1" customWidth="1"/>
    <col min="7934" max="7934" width="9.33203125" style="63" customWidth="1"/>
    <col min="7935" max="7935" width="9.6640625" style="63" customWidth="1"/>
    <col min="7936" max="7936" width="9.88671875" style="63" customWidth="1"/>
    <col min="7937" max="7938" width="9.6640625" style="63" customWidth="1"/>
    <col min="7939" max="7939" width="10" style="63" customWidth="1"/>
    <col min="7940" max="8186" width="9.109375" style="63"/>
    <col min="8187" max="8187" width="28.6640625" style="63" customWidth="1"/>
    <col min="8188" max="8188" width="6.33203125" style="63" customWidth="1"/>
    <col min="8189" max="8189" width="0" style="63" hidden="1" customWidth="1"/>
    <col min="8190" max="8190" width="9.33203125" style="63" customWidth="1"/>
    <col min="8191" max="8191" width="9.6640625" style="63" customWidth="1"/>
    <col min="8192" max="8192" width="9.88671875" style="63" customWidth="1"/>
    <col min="8193" max="8194" width="9.6640625" style="63" customWidth="1"/>
    <col min="8195" max="8195" width="10" style="63" customWidth="1"/>
    <col min="8196" max="8442" width="9.109375" style="63"/>
    <col min="8443" max="8443" width="28.6640625" style="63" customWidth="1"/>
    <col min="8444" max="8444" width="6.33203125" style="63" customWidth="1"/>
    <col min="8445" max="8445" width="0" style="63" hidden="1" customWidth="1"/>
    <col min="8446" max="8446" width="9.33203125" style="63" customWidth="1"/>
    <col min="8447" max="8447" width="9.6640625" style="63" customWidth="1"/>
    <col min="8448" max="8448" width="9.88671875" style="63" customWidth="1"/>
    <col min="8449" max="8450" width="9.6640625" style="63" customWidth="1"/>
    <col min="8451" max="8451" width="10" style="63" customWidth="1"/>
    <col min="8452" max="8698" width="9.109375" style="63"/>
    <col min="8699" max="8699" width="28.6640625" style="63" customWidth="1"/>
    <col min="8700" max="8700" width="6.33203125" style="63" customWidth="1"/>
    <col min="8701" max="8701" width="0" style="63" hidden="1" customWidth="1"/>
    <col min="8702" max="8702" width="9.33203125" style="63" customWidth="1"/>
    <col min="8703" max="8703" width="9.6640625" style="63" customWidth="1"/>
    <col min="8704" max="8704" width="9.88671875" style="63" customWidth="1"/>
    <col min="8705" max="8706" width="9.6640625" style="63" customWidth="1"/>
    <col min="8707" max="8707" width="10" style="63" customWidth="1"/>
    <col min="8708" max="8954" width="9.109375" style="63"/>
    <col min="8955" max="8955" width="28.6640625" style="63" customWidth="1"/>
    <col min="8956" max="8956" width="6.33203125" style="63" customWidth="1"/>
    <col min="8957" max="8957" width="0" style="63" hidden="1" customWidth="1"/>
    <col min="8958" max="8958" width="9.33203125" style="63" customWidth="1"/>
    <col min="8959" max="8959" width="9.6640625" style="63" customWidth="1"/>
    <col min="8960" max="8960" width="9.88671875" style="63" customWidth="1"/>
    <col min="8961" max="8962" width="9.6640625" style="63" customWidth="1"/>
    <col min="8963" max="8963" width="10" style="63" customWidth="1"/>
    <col min="8964" max="9210" width="9.109375" style="63"/>
    <col min="9211" max="9211" width="28.6640625" style="63" customWidth="1"/>
    <col min="9212" max="9212" width="6.33203125" style="63" customWidth="1"/>
    <col min="9213" max="9213" width="0" style="63" hidden="1" customWidth="1"/>
    <col min="9214" max="9214" width="9.33203125" style="63" customWidth="1"/>
    <col min="9215" max="9215" width="9.6640625" style="63" customWidth="1"/>
    <col min="9216" max="9216" width="9.88671875" style="63" customWidth="1"/>
    <col min="9217" max="9218" width="9.6640625" style="63" customWidth="1"/>
    <col min="9219" max="9219" width="10" style="63" customWidth="1"/>
    <col min="9220" max="9466" width="9.109375" style="63"/>
    <col min="9467" max="9467" width="28.6640625" style="63" customWidth="1"/>
    <col min="9468" max="9468" width="6.33203125" style="63" customWidth="1"/>
    <col min="9469" max="9469" width="0" style="63" hidden="1" customWidth="1"/>
    <col min="9470" max="9470" width="9.33203125" style="63" customWidth="1"/>
    <col min="9471" max="9471" width="9.6640625" style="63" customWidth="1"/>
    <col min="9472" max="9472" width="9.88671875" style="63" customWidth="1"/>
    <col min="9473" max="9474" width="9.6640625" style="63" customWidth="1"/>
    <col min="9475" max="9475" width="10" style="63" customWidth="1"/>
    <col min="9476" max="9722" width="9.109375" style="63"/>
    <col min="9723" max="9723" width="28.6640625" style="63" customWidth="1"/>
    <col min="9724" max="9724" width="6.33203125" style="63" customWidth="1"/>
    <col min="9725" max="9725" width="0" style="63" hidden="1" customWidth="1"/>
    <col min="9726" max="9726" width="9.33203125" style="63" customWidth="1"/>
    <col min="9727" max="9727" width="9.6640625" style="63" customWidth="1"/>
    <col min="9728" max="9728" width="9.88671875" style="63" customWidth="1"/>
    <col min="9729" max="9730" width="9.6640625" style="63" customWidth="1"/>
    <col min="9731" max="9731" width="10" style="63" customWidth="1"/>
    <col min="9732" max="9978" width="9.109375" style="63"/>
    <col min="9979" max="9979" width="28.6640625" style="63" customWidth="1"/>
    <col min="9980" max="9980" width="6.33203125" style="63" customWidth="1"/>
    <col min="9981" max="9981" width="0" style="63" hidden="1" customWidth="1"/>
    <col min="9982" max="9982" width="9.33203125" style="63" customWidth="1"/>
    <col min="9983" max="9983" width="9.6640625" style="63" customWidth="1"/>
    <col min="9984" max="9984" width="9.88671875" style="63" customWidth="1"/>
    <col min="9985" max="9986" width="9.6640625" style="63" customWidth="1"/>
    <col min="9987" max="9987" width="10" style="63" customWidth="1"/>
    <col min="9988" max="10234" width="9.109375" style="63"/>
    <col min="10235" max="10235" width="28.6640625" style="63" customWidth="1"/>
    <col min="10236" max="10236" width="6.33203125" style="63" customWidth="1"/>
    <col min="10237" max="10237" width="0" style="63" hidden="1" customWidth="1"/>
    <col min="10238" max="10238" width="9.33203125" style="63" customWidth="1"/>
    <col min="10239" max="10239" width="9.6640625" style="63" customWidth="1"/>
    <col min="10240" max="10240" width="9.88671875" style="63" customWidth="1"/>
    <col min="10241" max="10242" width="9.6640625" style="63" customWidth="1"/>
    <col min="10243" max="10243" width="10" style="63" customWidth="1"/>
    <col min="10244" max="10490" width="9.109375" style="63"/>
    <col min="10491" max="10491" width="28.6640625" style="63" customWidth="1"/>
    <col min="10492" max="10492" width="6.33203125" style="63" customWidth="1"/>
    <col min="10493" max="10493" width="0" style="63" hidden="1" customWidth="1"/>
    <col min="10494" max="10494" width="9.33203125" style="63" customWidth="1"/>
    <col min="10495" max="10495" width="9.6640625" style="63" customWidth="1"/>
    <col min="10496" max="10496" width="9.88671875" style="63" customWidth="1"/>
    <col min="10497" max="10498" width="9.6640625" style="63" customWidth="1"/>
    <col min="10499" max="10499" width="10" style="63" customWidth="1"/>
    <col min="10500" max="10746" width="9.109375" style="63"/>
    <col min="10747" max="10747" width="28.6640625" style="63" customWidth="1"/>
    <col min="10748" max="10748" width="6.33203125" style="63" customWidth="1"/>
    <col min="10749" max="10749" width="0" style="63" hidden="1" customWidth="1"/>
    <col min="10750" max="10750" width="9.33203125" style="63" customWidth="1"/>
    <col min="10751" max="10751" width="9.6640625" style="63" customWidth="1"/>
    <col min="10752" max="10752" width="9.88671875" style="63" customWidth="1"/>
    <col min="10753" max="10754" width="9.6640625" style="63" customWidth="1"/>
    <col min="10755" max="10755" width="10" style="63" customWidth="1"/>
    <col min="10756" max="11002" width="9.109375" style="63"/>
    <col min="11003" max="11003" width="28.6640625" style="63" customWidth="1"/>
    <col min="11004" max="11004" width="6.33203125" style="63" customWidth="1"/>
    <col min="11005" max="11005" width="0" style="63" hidden="1" customWidth="1"/>
    <col min="11006" max="11006" width="9.33203125" style="63" customWidth="1"/>
    <col min="11007" max="11007" width="9.6640625" style="63" customWidth="1"/>
    <col min="11008" max="11008" width="9.88671875" style="63" customWidth="1"/>
    <col min="11009" max="11010" width="9.6640625" style="63" customWidth="1"/>
    <col min="11011" max="11011" width="10" style="63" customWidth="1"/>
    <col min="11012" max="11258" width="9.109375" style="63"/>
    <col min="11259" max="11259" width="28.6640625" style="63" customWidth="1"/>
    <col min="11260" max="11260" width="6.33203125" style="63" customWidth="1"/>
    <col min="11261" max="11261" width="0" style="63" hidden="1" customWidth="1"/>
    <col min="11262" max="11262" width="9.33203125" style="63" customWidth="1"/>
    <col min="11263" max="11263" width="9.6640625" style="63" customWidth="1"/>
    <col min="11264" max="11264" width="9.88671875" style="63" customWidth="1"/>
    <col min="11265" max="11266" width="9.6640625" style="63" customWidth="1"/>
    <col min="11267" max="11267" width="10" style="63" customWidth="1"/>
    <col min="11268" max="11514" width="9.109375" style="63"/>
    <col min="11515" max="11515" width="28.6640625" style="63" customWidth="1"/>
    <col min="11516" max="11516" width="6.33203125" style="63" customWidth="1"/>
    <col min="11517" max="11517" width="0" style="63" hidden="1" customWidth="1"/>
    <col min="11518" max="11518" width="9.33203125" style="63" customWidth="1"/>
    <col min="11519" max="11519" width="9.6640625" style="63" customWidth="1"/>
    <col min="11520" max="11520" width="9.88671875" style="63" customWidth="1"/>
    <col min="11521" max="11522" width="9.6640625" style="63" customWidth="1"/>
    <col min="11523" max="11523" width="10" style="63" customWidth="1"/>
    <col min="11524" max="11770" width="9.109375" style="63"/>
    <col min="11771" max="11771" width="28.6640625" style="63" customWidth="1"/>
    <col min="11772" max="11772" width="6.33203125" style="63" customWidth="1"/>
    <col min="11773" max="11773" width="0" style="63" hidden="1" customWidth="1"/>
    <col min="11774" max="11774" width="9.33203125" style="63" customWidth="1"/>
    <col min="11775" max="11775" width="9.6640625" style="63" customWidth="1"/>
    <col min="11776" max="11776" width="9.88671875" style="63" customWidth="1"/>
    <col min="11777" max="11778" width="9.6640625" style="63" customWidth="1"/>
    <col min="11779" max="11779" width="10" style="63" customWidth="1"/>
    <col min="11780" max="12026" width="9.109375" style="63"/>
    <col min="12027" max="12027" width="28.6640625" style="63" customWidth="1"/>
    <col min="12028" max="12028" width="6.33203125" style="63" customWidth="1"/>
    <col min="12029" max="12029" width="0" style="63" hidden="1" customWidth="1"/>
    <col min="12030" max="12030" width="9.33203125" style="63" customWidth="1"/>
    <col min="12031" max="12031" width="9.6640625" style="63" customWidth="1"/>
    <col min="12032" max="12032" width="9.88671875" style="63" customWidth="1"/>
    <col min="12033" max="12034" width="9.6640625" style="63" customWidth="1"/>
    <col min="12035" max="12035" width="10" style="63" customWidth="1"/>
    <col min="12036" max="12282" width="9.109375" style="63"/>
    <col min="12283" max="12283" width="28.6640625" style="63" customWidth="1"/>
    <col min="12284" max="12284" width="6.33203125" style="63" customWidth="1"/>
    <col min="12285" max="12285" width="0" style="63" hidden="1" customWidth="1"/>
    <col min="12286" max="12286" width="9.33203125" style="63" customWidth="1"/>
    <col min="12287" max="12287" width="9.6640625" style="63" customWidth="1"/>
    <col min="12288" max="12288" width="9.88671875" style="63" customWidth="1"/>
    <col min="12289" max="12290" width="9.6640625" style="63" customWidth="1"/>
    <col min="12291" max="12291" width="10" style="63" customWidth="1"/>
    <col min="12292" max="12538" width="9.109375" style="63"/>
    <col min="12539" max="12539" width="28.6640625" style="63" customWidth="1"/>
    <col min="12540" max="12540" width="6.33203125" style="63" customWidth="1"/>
    <col min="12541" max="12541" width="0" style="63" hidden="1" customWidth="1"/>
    <col min="12542" max="12542" width="9.33203125" style="63" customWidth="1"/>
    <col min="12543" max="12543" width="9.6640625" style="63" customWidth="1"/>
    <col min="12544" max="12544" width="9.88671875" style="63" customWidth="1"/>
    <col min="12545" max="12546" width="9.6640625" style="63" customWidth="1"/>
    <col min="12547" max="12547" width="10" style="63" customWidth="1"/>
    <col min="12548" max="12794" width="9.109375" style="63"/>
    <col min="12795" max="12795" width="28.6640625" style="63" customWidth="1"/>
    <col min="12796" max="12796" width="6.33203125" style="63" customWidth="1"/>
    <col min="12797" max="12797" width="0" style="63" hidden="1" customWidth="1"/>
    <col min="12798" max="12798" width="9.33203125" style="63" customWidth="1"/>
    <col min="12799" max="12799" width="9.6640625" style="63" customWidth="1"/>
    <col min="12800" max="12800" width="9.88671875" style="63" customWidth="1"/>
    <col min="12801" max="12802" width="9.6640625" style="63" customWidth="1"/>
    <col min="12803" max="12803" width="10" style="63" customWidth="1"/>
    <col min="12804" max="13050" width="9.109375" style="63"/>
    <col min="13051" max="13051" width="28.6640625" style="63" customWidth="1"/>
    <col min="13052" max="13052" width="6.33203125" style="63" customWidth="1"/>
    <col min="13053" max="13053" width="0" style="63" hidden="1" customWidth="1"/>
    <col min="13054" max="13054" width="9.33203125" style="63" customWidth="1"/>
    <col min="13055" max="13055" width="9.6640625" style="63" customWidth="1"/>
    <col min="13056" max="13056" width="9.88671875" style="63" customWidth="1"/>
    <col min="13057" max="13058" width="9.6640625" style="63" customWidth="1"/>
    <col min="13059" max="13059" width="10" style="63" customWidth="1"/>
    <col min="13060" max="13306" width="9.109375" style="63"/>
    <col min="13307" max="13307" width="28.6640625" style="63" customWidth="1"/>
    <col min="13308" max="13308" width="6.33203125" style="63" customWidth="1"/>
    <col min="13309" max="13309" width="0" style="63" hidden="1" customWidth="1"/>
    <col min="13310" max="13310" width="9.33203125" style="63" customWidth="1"/>
    <col min="13311" max="13311" width="9.6640625" style="63" customWidth="1"/>
    <col min="13312" max="13312" width="9.88671875" style="63" customWidth="1"/>
    <col min="13313" max="13314" width="9.6640625" style="63" customWidth="1"/>
    <col min="13315" max="13315" width="10" style="63" customWidth="1"/>
    <col min="13316" max="13562" width="9.109375" style="63"/>
    <col min="13563" max="13563" width="28.6640625" style="63" customWidth="1"/>
    <col min="13564" max="13564" width="6.33203125" style="63" customWidth="1"/>
    <col min="13565" max="13565" width="0" style="63" hidden="1" customWidth="1"/>
    <col min="13566" max="13566" width="9.33203125" style="63" customWidth="1"/>
    <col min="13567" max="13567" width="9.6640625" style="63" customWidth="1"/>
    <col min="13568" max="13568" width="9.88671875" style="63" customWidth="1"/>
    <col min="13569" max="13570" width="9.6640625" style="63" customWidth="1"/>
    <col min="13571" max="13571" width="10" style="63" customWidth="1"/>
    <col min="13572" max="13818" width="9.109375" style="63"/>
    <col min="13819" max="13819" width="28.6640625" style="63" customWidth="1"/>
    <col min="13820" max="13820" width="6.33203125" style="63" customWidth="1"/>
    <col min="13821" max="13821" width="0" style="63" hidden="1" customWidth="1"/>
    <col min="13822" max="13822" width="9.33203125" style="63" customWidth="1"/>
    <col min="13823" max="13823" width="9.6640625" style="63" customWidth="1"/>
    <col min="13824" max="13824" width="9.88671875" style="63" customWidth="1"/>
    <col min="13825" max="13826" width="9.6640625" style="63" customWidth="1"/>
    <col min="13827" max="13827" width="10" style="63" customWidth="1"/>
    <col min="13828" max="14074" width="9.109375" style="63"/>
    <col min="14075" max="14075" width="28.6640625" style="63" customWidth="1"/>
    <col min="14076" max="14076" width="6.33203125" style="63" customWidth="1"/>
    <col min="14077" max="14077" width="0" style="63" hidden="1" customWidth="1"/>
    <col min="14078" max="14078" width="9.33203125" style="63" customWidth="1"/>
    <col min="14079" max="14079" width="9.6640625" style="63" customWidth="1"/>
    <col min="14080" max="14080" width="9.88671875" style="63" customWidth="1"/>
    <col min="14081" max="14082" width="9.6640625" style="63" customWidth="1"/>
    <col min="14083" max="14083" width="10" style="63" customWidth="1"/>
    <col min="14084" max="14330" width="9.109375" style="63"/>
    <col min="14331" max="14331" width="28.6640625" style="63" customWidth="1"/>
    <col min="14332" max="14332" width="6.33203125" style="63" customWidth="1"/>
    <col min="14333" max="14333" width="0" style="63" hidden="1" customWidth="1"/>
    <col min="14334" max="14334" width="9.33203125" style="63" customWidth="1"/>
    <col min="14335" max="14335" width="9.6640625" style="63" customWidth="1"/>
    <col min="14336" max="14336" width="9.88671875" style="63" customWidth="1"/>
    <col min="14337" max="14338" width="9.6640625" style="63" customWidth="1"/>
    <col min="14339" max="14339" width="10" style="63" customWidth="1"/>
    <col min="14340" max="14586" width="9.109375" style="63"/>
    <col min="14587" max="14587" width="28.6640625" style="63" customWidth="1"/>
    <col min="14588" max="14588" width="6.33203125" style="63" customWidth="1"/>
    <col min="14589" max="14589" width="0" style="63" hidden="1" customWidth="1"/>
    <col min="14590" max="14590" width="9.33203125" style="63" customWidth="1"/>
    <col min="14591" max="14591" width="9.6640625" style="63" customWidth="1"/>
    <col min="14592" max="14592" width="9.88671875" style="63" customWidth="1"/>
    <col min="14593" max="14594" width="9.6640625" style="63" customWidth="1"/>
    <col min="14595" max="14595" width="10" style="63" customWidth="1"/>
    <col min="14596" max="14842" width="9.109375" style="63"/>
    <col min="14843" max="14843" width="28.6640625" style="63" customWidth="1"/>
    <col min="14844" max="14844" width="6.33203125" style="63" customWidth="1"/>
    <col min="14845" max="14845" width="0" style="63" hidden="1" customWidth="1"/>
    <col min="14846" max="14846" width="9.33203125" style="63" customWidth="1"/>
    <col min="14847" max="14847" width="9.6640625" style="63" customWidth="1"/>
    <col min="14848" max="14848" width="9.88671875" style="63" customWidth="1"/>
    <col min="14849" max="14850" width="9.6640625" style="63" customWidth="1"/>
    <col min="14851" max="14851" width="10" style="63" customWidth="1"/>
    <col min="14852" max="15098" width="9.109375" style="63"/>
    <col min="15099" max="15099" width="28.6640625" style="63" customWidth="1"/>
    <col min="15100" max="15100" width="6.33203125" style="63" customWidth="1"/>
    <col min="15101" max="15101" width="0" style="63" hidden="1" customWidth="1"/>
    <col min="15102" max="15102" width="9.33203125" style="63" customWidth="1"/>
    <col min="15103" max="15103" width="9.6640625" style="63" customWidth="1"/>
    <col min="15104" max="15104" width="9.88671875" style="63" customWidth="1"/>
    <col min="15105" max="15106" width="9.6640625" style="63" customWidth="1"/>
    <col min="15107" max="15107" width="10" style="63" customWidth="1"/>
    <col min="15108" max="15354" width="9.109375" style="63"/>
    <col min="15355" max="15355" width="28.6640625" style="63" customWidth="1"/>
    <col min="15356" max="15356" width="6.33203125" style="63" customWidth="1"/>
    <col min="15357" max="15357" width="0" style="63" hidden="1" customWidth="1"/>
    <col min="15358" max="15358" width="9.33203125" style="63" customWidth="1"/>
    <col min="15359" max="15359" width="9.6640625" style="63" customWidth="1"/>
    <col min="15360" max="15360" width="9.88671875" style="63" customWidth="1"/>
    <col min="15361" max="15362" width="9.6640625" style="63" customWidth="1"/>
    <col min="15363" max="15363" width="10" style="63" customWidth="1"/>
    <col min="15364" max="15610" width="9.109375" style="63"/>
    <col min="15611" max="15611" width="28.6640625" style="63" customWidth="1"/>
    <col min="15612" max="15612" width="6.33203125" style="63" customWidth="1"/>
    <col min="15613" max="15613" width="0" style="63" hidden="1" customWidth="1"/>
    <col min="15614" max="15614" width="9.33203125" style="63" customWidth="1"/>
    <col min="15615" max="15615" width="9.6640625" style="63" customWidth="1"/>
    <col min="15616" max="15616" width="9.88671875" style="63" customWidth="1"/>
    <col min="15617" max="15618" width="9.6640625" style="63" customWidth="1"/>
    <col min="15619" max="15619" width="10" style="63" customWidth="1"/>
    <col min="15620" max="15866" width="9.109375" style="63"/>
    <col min="15867" max="15867" width="28.6640625" style="63" customWidth="1"/>
    <col min="15868" max="15868" width="6.33203125" style="63" customWidth="1"/>
    <col min="15869" max="15869" width="0" style="63" hidden="1" customWidth="1"/>
    <col min="15870" max="15870" width="9.33203125" style="63" customWidth="1"/>
    <col min="15871" max="15871" width="9.6640625" style="63" customWidth="1"/>
    <col min="15872" max="15872" width="9.88671875" style="63" customWidth="1"/>
    <col min="15873" max="15874" width="9.6640625" style="63" customWidth="1"/>
    <col min="15875" max="15875" width="10" style="63" customWidth="1"/>
    <col min="15876" max="16122" width="9.109375" style="63"/>
    <col min="16123" max="16123" width="28.6640625" style="63" customWidth="1"/>
    <col min="16124" max="16124" width="6.33203125" style="63" customWidth="1"/>
    <col min="16125" max="16125" width="0" style="63" hidden="1" customWidth="1"/>
    <col min="16126" max="16126" width="9.33203125" style="63" customWidth="1"/>
    <col min="16127" max="16127" width="9.6640625" style="63" customWidth="1"/>
    <col min="16128" max="16128" width="9.88671875" style="63" customWidth="1"/>
    <col min="16129" max="16130" width="9.6640625" style="63" customWidth="1"/>
    <col min="16131" max="16131" width="10" style="63" customWidth="1"/>
    <col min="16132" max="16384" width="9.109375" style="63"/>
  </cols>
  <sheetData>
    <row r="1" spans="1:8" ht="13.8">
      <c r="H1" s="212" t="s">
        <v>130</v>
      </c>
    </row>
    <row r="2" spans="1:8" ht="13.8">
      <c r="H2" s="213"/>
    </row>
    <row r="3" spans="1:8" ht="15.6">
      <c r="A3" s="444" t="s">
        <v>131</v>
      </c>
      <c r="B3" s="444"/>
      <c r="C3" s="444"/>
      <c r="D3" s="444"/>
      <c r="E3" s="358"/>
      <c r="F3" s="358"/>
      <c r="H3" s="213"/>
    </row>
    <row r="4" spans="1:8" ht="12" customHeight="1">
      <c r="H4" s="212" t="s">
        <v>212</v>
      </c>
    </row>
    <row r="5" spans="1:8" ht="12.75" customHeight="1">
      <c r="A5" s="359"/>
      <c r="B5" s="445" t="s">
        <v>1</v>
      </c>
      <c r="C5" s="447" t="s">
        <v>345</v>
      </c>
      <c r="D5" s="442" t="s">
        <v>401</v>
      </c>
      <c r="E5" s="442" t="s">
        <v>402</v>
      </c>
      <c r="F5" s="449" t="s">
        <v>548</v>
      </c>
      <c r="G5" s="442" t="s">
        <v>346</v>
      </c>
      <c r="H5" s="442" t="s">
        <v>404</v>
      </c>
    </row>
    <row r="6" spans="1:8" ht="32.25" customHeight="1">
      <c r="A6" s="360"/>
      <c r="B6" s="446" t="s">
        <v>2</v>
      </c>
      <c r="C6" s="448"/>
      <c r="D6" s="443"/>
      <c r="E6" s="443"/>
      <c r="F6" s="450"/>
      <c r="G6" s="443"/>
      <c r="H6" s="443"/>
    </row>
    <row r="7" spans="1:8" ht="15.6">
      <c r="A7" s="361"/>
      <c r="B7" s="361"/>
      <c r="C7" s="361"/>
      <c r="D7" s="362"/>
      <c r="E7" s="362"/>
      <c r="F7" s="362"/>
      <c r="G7" s="362"/>
    </row>
    <row r="8" spans="1:8" ht="15.6">
      <c r="A8" s="363" t="s">
        <v>132</v>
      </c>
      <c r="B8" s="363" t="s">
        <v>5</v>
      </c>
      <c r="C8" s="364">
        <f t="shared" ref="C8:F8" si="0">C10+C11</f>
        <v>709342</v>
      </c>
      <c r="D8" s="365">
        <f t="shared" si="0"/>
        <v>1052138</v>
      </c>
      <c r="E8" s="365">
        <f t="shared" si="0"/>
        <v>1160930</v>
      </c>
      <c r="F8" s="365">
        <f t="shared" si="0"/>
        <v>1111367</v>
      </c>
      <c r="G8" s="365">
        <f>G10+G11</f>
        <v>1227062</v>
      </c>
      <c r="H8" s="365">
        <f>H10+H11</f>
        <v>1352187</v>
      </c>
    </row>
    <row r="9" spans="1:8" ht="15.6">
      <c r="A9" s="361"/>
      <c r="B9" s="361"/>
      <c r="C9" s="361"/>
      <c r="D9" s="362"/>
      <c r="E9" s="362"/>
      <c r="F9" s="362"/>
      <c r="G9" s="362"/>
    </row>
    <row r="10" spans="1:8" ht="75" customHeight="1">
      <c r="A10" s="366" t="s">
        <v>133</v>
      </c>
      <c r="B10" s="367" t="s">
        <v>5</v>
      </c>
      <c r="C10" s="368">
        <f>222723</f>
        <v>222723</v>
      </c>
      <c r="D10" s="368">
        <v>181647</v>
      </c>
      <c r="E10" s="368">
        <f>D10-4500+7797+1975+(189340-174266)</f>
        <v>201993</v>
      </c>
      <c r="F10" s="368">
        <f>E10-4600+8765+872+(120752-189340)</f>
        <v>138442</v>
      </c>
      <c r="G10" s="368">
        <f>F10-4600+8029+1315+(123803-120752)</f>
        <v>146237</v>
      </c>
      <c r="H10" s="368">
        <f>G10-4600+3982+1315+(129073-123803)</f>
        <v>152204</v>
      </c>
    </row>
    <row r="11" spans="1:8" ht="51.75" customHeight="1">
      <c r="A11" s="366" t="s">
        <v>134</v>
      </c>
      <c r="B11" s="367" t="s">
        <v>5</v>
      </c>
      <c r="C11" s="368">
        <v>486619</v>
      </c>
      <c r="D11" s="368">
        <f>870491</f>
        <v>870491</v>
      </c>
      <c r="E11" s="368">
        <f>D11+88446</f>
        <v>958937</v>
      </c>
      <c r="F11" s="368">
        <f>E11+13988</f>
        <v>972925</v>
      </c>
      <c r="G11" s="368">
        <f>F11+107900</f>
        <v>1080825</v>
      </c>
      <c r="H11" s="369">
        <f>G11+119158</f>
        <v>1199983</v>
      </c>
    </row>
    <row r="55" ht="32.25" customHeight="1"/>
  </sheetData>
  <mergeCells count="8">
    <mergeCell ref="G5:G6"/>
    <mergeCell ref="H5:H6"/>
    <mergeCell ref="A3:D3"/>
    <mergeCell ref="B5:B6"/>
    <mergeCell ref="C5:C6"/>
    <mergeCell ref="D5:D6"/>
    <mergeCell ref="E5:E6"/>
    <mergeCell ref="F5:F6"/>
  </mergeCells>
  <pageMargins left="0.74803149606299213" right="0.23622047244094491" top="0.98425196850393704" bottom="0.98425196850393704"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workbookViewId="0">
      <selection activeCell="E15" sqref="A1:E15"/>
    </sheetView>
  </sheetViews>
  <sheetFormatPr defaultColWidth="9.109375" defaultRowHeight="13.8"/>
  <cols>
    <col min="1" max="1" width="37.6640625" style="199" customWidth="1"/>
    <col min="2" max="2" width="11.5546875" style="199" customWidth="1"/>
    <col min="3" max="3" width="12.5546875" style="199" customWidth="1"/>
    <col min="4" max="4" width="11.6640625" style="199" customWidth="1"/>
    <col min="5" max="5" width="12.5546875" style="199" customWidth="1"/>
    <col min="6" max="16384" width="9.109375" style="199"/>
  </cols>
  <sheetData>
    <row r="1" spans="1:6">
      <c r="E1" s="208" t="s">
        <v>330</v>
      </c>
    </row>
    <row r="3" spans="1:6" ht="33" customHeight="1">
      <c r="A3" s="451" t="s">
        <v>331</v>
      </c>
      <c r="B3" s="451"/>
      <c r="C3" s="451"/>
      <c r="D3" s="451"/>
      <c r="E3" s="451"/>
    </row>
    <row r="4" spans="1:6" ht="15" customHeight="1">
      <c r="A4" s="227"/>
      <c r="B4" s="227"/>
      <c r="C4" s="227"/>
      <c r="D4" s="227"/>
      <c r="E4" s="227"/>
    </row>
    <row r="5" spans="1:6" ht="14.25" customHeight="1"/>
    <row r="6" spans="1:6" ht="29.25" customHeight="1">
      <c r="A6" s="452" t="s">
        <v>397</v>
      </c>
      <c r="B6" s="452"/>
      <c r="C6" s="452"/>
      <c r="D6" s="452"/>
      <c r="E6" s="452"/>
    </row>
    <row r="7" spans="1:6" ht="49.5" customHeight="1">
      <c r="A7" s="452" t="s">
        <v>477</v>
      </c>
      <c r="B7" s="452"/>
      <c r="C7" s="452"/>
      <c r="D7" s="452"/>
      <c r="E7" s="452"/>
    </row>
    <row r="8" spans="1:6" ht="33" customHeight="1">
      <c r="A8" s="453" t="s">
        <v>478</v>
      </c>
      <c r="B8" s="453"/>
      <c r="C8" s="453"/>
      <c r="D8" s="453"/>
      <c r="E8" s="453"/>
    </row>
    <row r="9" spans="1:6" ht="18.75" customHeight="1"/>
    <row r="10" spans="1:6" ht="34.5" customHeight="1">
      <c r="A10" s="209" t="s">
        <v>333</v>
      </c>
      <c r="B10" s="205" t="s">
        <v>402</v>
      </c>
      <c r="C10" s="207" t="s">
        <v>403</v>
      </c>
      <c r="D10" s="206" t="s">
        <v>346</v>
      </c>
      <c r="E10" s="206" t="s">
        <v>404</v>
      </c>
      <c r="F10" s="198"/>
    </row>
    <row r="11" spans="1:6" ht="22.5" customHeight="1">
      <c r="A11" s="201" t="s">
        <v>332</v>
      </c>
      <c r="B11" s="202">
        <v>3485665</v>
      </c>
      <c r="C11" s="202">
        <v>3728224</v>
      </c>
      <c r="D11" s="203">
        <v>3958095</v>
      </c>
      <c r="E11" s="203">
        <v>4167670</v>
      </c>
      <c r="F11" s="198"/>
    </row>
    <row r="12" spans="1:6" ht="22.5" customHeight="1">
      <c r="A12" s="210" t="s">
        <v>343</v>
      </c>
      <c r="B12" s="204">
        <f>ROUND(B11*55.43%,0)</f>
        <v>1932104</v>
      </c>
      <c r="C12" s="203">
        <f t="shared" ref="C12:E12" si="0">ROUND(C11*55.43%,0)</f>
        <v>2066555</v>
      </c>
      <c r="D12" s="204">
        <f t="shared" si="0"/>
        <v>2193972</v>
      </c>
      <c r="E12" s="204">
        <f t="shared" si="0"/>
        <v>2310139</v>
      </c>
      <c r="F12" s="198"/>
    </row>
    <row r="13" spans="1:6" ht="22.5" customHeight="1">
      <c r="A13" s="210" t="s">
        <v>344</v>
      </c>
      <c r="B13" s="204">
        <f>B11-B12</f>
        <v>1553561</v>
      </c>
      <c r="C13" s="203">
        <f t="shared" ref="C13:E13" si="1">C11-C12</f>
        <v>1661669</v>
      </c>
      <c r="D13" s="204">
        <f t="shared" si="1"/>
        <v>1764123</v>
      </c>
      <c r="E13" s="204">
        <f t="shared" si="1"/>
        <v>1857531</v>
      </c>
    </row>
    <row r="14" spans="1:6" ht="18" customHeight="1"/>
    <row r="15" spans="1:6">
      <c r="A15" s="200"/>
      <c r="C15" s="226"/>
      <c r="D15" s="226"/>
      <c r="E15" s="226"/>
    </row>
  </sheetData>
  <mergeCells count="4">
    <mergeCell ref="A3:E3"/>
    <mergeCell ref="A6:E6"/>
    <mergeCell ref="A7:E7"/>
    <mergeCell ref="A8:E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9"/>
  <sheetViews>
    <sheetView zoomScale="98" zoomScaleNormal="98" workbookViewId="0">
      <selection activeCell="A80" sqref="A1:E80"/>
    </sheetView>
  </sheetViews>
  <sheetFormatPr defaultRowHeight="14.4"/>
  <cols>
    <col min="1" max="1" width="8" customWidth="1"/>
    <col min="2" max="2" width="55" customWidth="1"/>
    <col min="3" max="3" width="8.44140625" customWidth="1"/>
    <col min="4" max="4" width="7.88671875" customWidth="1"/>
    <col min="5" max="5" width="8.109375" customWidth="1"/>
    <col min="6" max="6" width="3.88671875" customWidth="1"/>
    <col min="7" max="7" width="4.5546875" customWidth="1"/>
    <col min="8" max="8" width="5.109375" customWidth="1"/>
  </cols>
  <sheetData>
    <row r="1" spans="1:7" ht="21" customHeight="1">
      <c r="A1" s="441" t="s">
        <v>479</v>
      </c>
      <c r="B1" s="441"/>
      <c r="C1" s="441"/>
      <c r="D1" s="441"/>
      <c r="E1" s="229" t="s">
        <v>348</v>
      </c>
      <c r="F1" s="208"/>
      <c r="G1" s="208"/>
    </row>
    <row r="2" spans="1:7" ht="17.25" customHeight="1">
      <c r="A2" s="441" t="s">
        <v>395</v>
      </c>
      <c r="B2" s="441"/>
      <c r="C2" s="441"/>
      <c r="D2" s="441"/>
      <c r="E2" s="208" t="s">
        <v>20</v>
      </c>
      <c r="F2" s="208"/>
      <c r="G2" s="208"/>
    </row>
    <row r="3" spans="1:7" ht="17.25" customHeight="1">
      <c r="A3" s="441" t="s">
        <v>396</v>
      </c>
      <c r="B3" s="441"/>
      <c r="C3" s="441"/>
      <c r="D3" s="441"/>
      <c r="E3" s="208"/>
      <c r="F3" s="208"/>
      <c r="G3" s="208"/>
    </row>
    <row r="4" spans="1:7" ht="9.75" customHeight="1">
      <c r="E4" s="208"/>
      <c r="F4" s="208"/>
      <c r="G4" s="208"/>
    </row>
    <row r="5" spans="1:7" ht="65.25" customHeight="1">
      <c r="A5" s="460" t="s">
        <v>349</v>
      </c>
      <c r="B5" s="460"/>
      <c r="C5" s="460"/>
      <c r="D5" s="460"/>
      <c r="E5" s="460"/>
      <c r="F5" s="230"/>
      <c r="G5" s="230"/>
    </row>
    <row r="6" spans="1:7" ht="8.25" customHeight="1">
      <c r="A6" s="230"/>
      <c r="B6" s="230"/>
      <c r="C6" s="230"/>
      <c r="D6" s="230"/>
      <c r="E6" s="230"/>
      <c r="F6" s="230"/>
      <c r="G6" s="230"/>
    </row>
    <row r="7" spans="1:7" ht="51.75" customHeight="1">
      <c r="A7" s="460" t="s">
        <v>480</v>
      </c>
      <c r="B7" s="460"/>
      <c r="C7" s="460"/>
      <c r="D7" s="460"/>
      <c r="E7" s="460"/>
      <c r="F7" s="230"/>
    </row>
    <row r="8" spans="1:7" ht="33.75" customHeight="1">
      <c r="A8" s="231"/>
    </row>
    <row r="9" spans="1:7" ht="33.75" customHeight="1">
      <c r="A9" s="460" t="s">
        <v>350</v>
      </c>
      <c r="B9" s="460"/>
      <c r="C9" s="460"/>
      <c r="D9" s="460"/>
      <c r="E9" s="460"/>
      <c r="F9" s="230"/>
      <c r="G9" s="230"/>
    </row>
    <row r="10" spans="1:7" ht="6.75" customHeight="1">
      <c r="A10" s="230"/>
      <c r="B10" s="230"/>
      <c r="C10" s="230"/>
      <c r="D10" s="230"/>
    </row>
    <row r="11" spans="1:7" ht="16.5" customHeight="1">
      <c r="B11" s="232" t="s">
        <v>351</v>
      </c>
    </row>
    <row r="12" spans="1:7" ht="16.5" customHeight="1">
      <c r="B12" s="232" t="s">
        <v>352</v>
      </c>
    </row>
    <row r="13" spans="1:7" ht="16.5" customHeight="1">
      <c r="B13" s="232" t="s">
        <v>353</v>
      </c>
    </row>
    <row r="14" spans="1:7" ht="19.5" customHeight="1">
      <c r="B14" s="232" t="s">
        <v>481</v>
      </c>
    </row>
    <row r="15" spans="1:7" ht="10.5" customHeight="1">
      <c r="B15" s="232"/>
    </row>
    <row r="16" spans="1:7" ht="30.75" customHeight="1">
      <c r="A16" s="460" t="s">
        <v>354</v>
      </c>
      <c r="B16" s="460"/>
      <c r="C16" s="460"/>
      <c r="D16" s="460"/>
      <c r="E16" s="460"/>
      <c r="F16" s="230"/>
      <c r="G16" s="230"/>
    </row>
    <row r="17" spans="1:4" ht="14.25" customHeight="1">
      <c r="A17" s="233"/>
    </row>
    <row r="18" spans="1:4" ht="16.5" customHeight="1">
      <c r="B18" s="232" t="s">
        <v>482</v>
      </c>
    </row>
    <row r="19" spans="1:4" ht="16.5" customHeight="1">
      <c r="B19" s="232" t="s">
        <v>483</v>
      </c>
    </row>
    <row r="20" spans="1:4" ht="16.5" customHeight="1">
      <c r="B20" s="232" t="s">
        <v>484</v>
      </c>
    </row>
    <row r="21" spans="1:4" ht="16.5" customHeight="1">
      <c r="B21" s="232" t="s">
        <v>485</v>
      </c>
    </row>
    <row r="22" spans="1:4" ht="8.25" customHeight="1">
      <c r="A22" s="233"/>
    </row>
    <row r="23" spans="1:4" ht="15.6">
      <c r="A23" s="460" t="s">
        <v>355</v>
      </c>
      <c r="B23" s="460"/>
      <c r="C23" s="460"/>
      <c r="D23" s="460"/>
    </row>
    <row r="24" spans="1:4" ht="9.75" customHeight="1">
      <c r="A24" s="233"/>
    </row>
    <row r="25" spans="1:4" ht="17.25" customHeight="1">
      <c r="B25" s="232" t="s">
        <v>356</v>
      </c>
    </row>
    <row r="26" spans="1:4" ht="17.25" customHeight="1">
      <c r="B26" s="232" t="s">
        <v>357</v>
      </c>
    </row>
    <row r="27" spans="1:4" ht="17.25" customHeight="1">
      <c r="B27" s="232" t="s">
        <v>487</v>
      </c>
    </row>
    <row r="28" spans="1:4" ht="17.25" customHeight="1">
      <c r="B28" s="232" t="s">
        <v>488</v>
      </c>
    </row>
    <row r="29" spans="1:4" ht="17.25" customHeight="1">
      <c r="B29" s="232" t="s">
        <v>489</v>
      </c>
    </row>
    <row r="30" spans="1:4" ht="17.25" customHeight="1">
      <c r="B30" s="232" t="s">
        <v>490</v>
      </c>
    </row>
    <row r="31" spans="1:4" ht="16.5" customHeight="1">
      <c r="A31" s="233"/>
      <c r="B31" s="232" t="s">
        <v>491</v>
      </c>
    </row>
    <row r="32" spans="1:4" ht="15.6">
      <c r="A32" s="460" t="s">
        <v>358</v>
      </c>
      <c r="B32" s="460"/>
      <c r="C32" s="460"/>
      <c r="D32" s="460"/>
    </row>
    <row r="33" spans="1:7" ht="10.5" customHeight="1">
      <c r="A33" s="233"/>
    </row>
    <row r="34" spans="1:7" ht="36" customHeight="1">
      <c r="A34" s="462" t="s">
        <v>359</v>
      </c>
      <c r="B34" s="234" t="s">
        <v>492</v>
      </c>
      <c r="C34" s="463" t="s">
        <v>493</v>
      </c>
      <c r="D34" s="463"/>
    </row>
    <row r="35" spans="1:7" ht="32.25" customHeight="1">
      <c r="A35" s="462"/>
      <c r="B35" s="235">
        <v>7</v>
      </c>
      <c r="C35" s="463"/>
      <c r="D35" s="463"/>
    </row>
    <row r="36" spans="1:7" ht="13.5" customHeight="1">
      <c r="A36" s="236"/>
    </row>
    <row r="37" spans="1:7" ht="24" customHeight="1">
      <c r="A37" s="460" t="s">
        <v>494</v>
      </c>
      <c r="B37" s="460"/>
      <c r="C37" s="460"/>
      <c r="D37" s="460"/>
    </row>
    <row r="38" spans="1:7" ht="32.25" customHeight="1">
      <c r="A38" s="461"/>
      <c r="B38" s="461"/>
      <c r="C38" s="461"/>
      <c r="D38" s="461"/>
      <c r="E38" s="461"/>
    </row>
    <row r="39" spans="1:7" ht="9" customHeight="1">
      <c r="A39" s="262"/>
      <c r="B39" s="262"/>
      <c r="C39" s="262"/>
      <c r="D39" s="262"/>
      <c r="E39" s="262"/>
    </row>
    <row r="40" spans="1:7" ht="15.6">
      <c r="A40" s="230"/>
      <c r="B40" s="230"/>
      <c r="C40" s="230"/>
      <c r="D40" s="230"/>
      <c r="E40" s="229" t="s">
        <v>348</v>
      </c>
    </row>
    <row r="41" spans="1:7" ht="15.6">
      <c r="A41" s="230"/>
      <c r="B41" s="230"/>
      <c r="C41" s="230"/>
      <c r="D41" s="230"/>
      <c r="E41" s="237" t="s">
        <v>43</v>
      </c>
    </row>
    <row r="42" spans="1:7" ht="17.25" customHeight="1">
      <c r="A42" s="457" t="s">
        <v>495</v>
      </c>
      <c r="B42" s="457"/>
      <c r="C42" s="457"/>
      <c r="D42" s="457"/>
      <c r="E42" s="457"/>
      <c r="F42" s="208"/>
    </row>
    <row r="43" spans="1:7" ht="34.5" customHeight="1">
      <c r="A43" s="457" t="s">
        <v>496</v>
      </c>
      <c r="B43" s="457"/>
      <c r="C43" s="457"/>
      <c r="D43" s="457"/>
      <c r="E43" s="263"/>
      <c r="F43" s="237"/>
      <c r="G43" s="208"/>
    </row>
    <row r="44" spans="1:7" ht="8.25" customHeight="1">
      <c r="A44" s="264"/>
      <c r="B44" s="264"/>
      <c r="C44" s="264"/>
      <c r="D44" s="264"/>
      <c r="E44" s="264"/>
      <c r="F44" s="238"/>
    </row>
    <row r="45" spans="1:7" ht="15.6">
      <c r="A45" s="265"/>
      <c r="B45" s="458" t="s">
        <v>502</v>
      </c>
      <c r="C45" s="458"/>
      <c r="D45" s="458"/>
      <c r="E45" s="458"/>
      <c r="F45" s="239"/>
    </row>
    <row r="46" spans="1:7" ht="15.6">
      <c r="A46" s="265"/>
      <c r="B46" s="455" t="s">
        <v>503</v>
      </c>
      <c r="C46" s="456"/>
      <c r="D46" s="456"/>
      <c r="E46" s="456"/>
      <c r="F46" s="239"/>
    </row>
    <row r="47" spans="1:7" ht="15.6">
      <c r="A47" s="265"/>
      <c r="B47" s="456" t="s">
        <v>504</v>
      </c>
      <c r="C47" s="456"/>
      <c r="D47" s="456"/>
      <c r="E47" s="456"/>
      <c r="F47" s="239"/>
    </row>
    <row r="48" spans="1:7" ht="12.75" customHeight="1">
      <c r="A48" s="265"/>
      <c r="B48" s="265"/>
      <c r="C48" s="265"/>
      <c r="D48" s="265"/>
      <c r="E48" s="263"/>
    </row>
    <row r="49" spans="1:7" ht="51.75" customHeight="1">
      <c r="A49" s="457" t="s">
        <v>497</v>
      </c>
      <c r="B49" s="457"/>
      <c r="C49" s="457"/>
      <c r="D49" s="457"/>
      <c r="E49" s="457"/>
      <c r="F49" s="238"/>
    </row>
    <row r="50" spans="1:7" ht="9" customHeight="1">
      <c r="A50" s="264"/>
      <c r="B50" s="264"/>
      <c r="C50" s="264"/>
      <c r="D50" s="264"/>
      <c r="E50" s="264"/>
      <c r="F50" s="238"/>
    </row>
    <row r="51" spans="1:7" ht="15.6">
      <c r="A51" s="265"/>
      <c r="B51" s="458" t="s">
        <v>505</v>
      </c>
      <c r="C51" s="458"/>
      <c r="D51" s="458"/>
      <c r="E51" s="458"/>
      <c r="F51" s="239"/>
    </row>
    <row r="52" spans="1:7" ht="15.6">
      <c r="A52" s="265"/>
      <c r="B52" s="455" t="s">
        <v>506</v>
      </c>
      <c r="C52" s="456"/>
      <c r="D52" s="456"/>
      <c r="E52" s="456"/>
      <c r="F52" s="239"/>
    </row>
    <row r="53" spans="1:7" ht="15.6">
      <c r="A53" s="265"/>
      <c r="B53" s="456" t="s">
        <v>507</v>
      </c>
      <c r="C53" s="456"/>
      <c r="D53" s="456"/>
      <c r="E53" s="456"/>
      <c r="F53" s="239"/>
    </row>
    <row r="54" spans="1:7" ht="12.75" customHeight="1">
      <c r="A54" s="265"/>
      <c r="B54" s="265"/>
      <c r="C54" s="265"/>
      <c r="D54" s="265"/>
      <c r="E54" s="263"/>
    </row>
    <row r="55" spans="1:7" ht="40.5" customHeight="1">
      <c r="A55" s="457" t="s">
        <v>510</v>
      </c>
      <c r="B55" s="457"/>
      <c r="C55" s="457"/>
      <c r="D55" s="457"/>
      <c r="E55" s="457"/>
      <c r="F55" s="238"/>
    </row>
    <row r="56" spans="1:7" ht="6" customHeight="1">
      <c r="A56" s="230"/>
      <c r="B56" s="239"/>
      <c r="C56" s="239"/>
      <c r="D56" s="239"/>
      <c r="E56" s="239"/>
      <c r="F56" s="239"/>
    </row>
    <row r="57" spans="1:7" ht="33" customHeight="1">
      <c r="A57" s="460" t="s">
        <v>498</v>
      </c>
      <c r="B57" s="460"/>
      <c r="C57" s="460"/>
      <c r="D57" s="460"/>
      <c r="E57" s="460"/>
      <c r="F57" s="230"/>
      <c r="G57" s="230"/>
    </row>
    <row r="58" spans="1:7" ht="13.5" customHeight="1">
      <c r="A58" s="230"/>
      <c r="B58" s="230"/>
      <c r="C58" s="230"/>
      <c r="D58" s="230"/>
    </row>
    <row r="59" spans="1:7" ht="15.75" customHeight="1">
      <c r="B59" s="436" t="s">
        <v>499</v>
      </c>
      <c r="C59" s="436"/>
    </row>
    <row r="60" spans="1:7" ht="18">
      <c r="B60" s="231" t="s">
        <v>500</v>
      </c>
    </row>
    <row r="61" spans="1:7" ht="15.6">
      <c r="B61" s="231" t="s">
        <v>501</v>
      </c>
    </row>
    <row r="62" spans="1:7" ht="9.75" customHeight="1">
      <c r="A62" s="231"/>
    </row>
    <row r="63" spans="1:7" ht="15.6">
      <c r="B63" s="459" t="s">
        <v>508</v>
      </c>
      <c r="C63" s="459"/>
      <c r="D63" s="459"/>
      <c r="E63" s="459"/>
    </row>
    <row r="64" spans="1:7" ht="6" customHeight="1">
      <c r="A64" s="231"/>
    </row>
    <row r="65" spans="1:6" ht="34.5" customHeight="1">
      <c r="A65" s="454" t="s">
        <v>509</v>
      </c>
      <c r="B65" s="454" t="s">
        <v>360</v>
      </c>
      <c r="C65" s="454"/>
      <c r="D65" s="454"/>
      <c r="E65" s="454"/>
      <c r="F65" s="238"/>
    </row>
    <row r="66" spans="1:6" ht="12.75" customHeight="1">
      <c r="A66" s="230"/>
      <c r="B66" s="230"/>
      <c r="C66" s="230"/>
      <c r="D66" s="230"/>
    </row>
    <row r="67" spans="1:6" ht="15.6">
      <c r="B67" s="436" t="s">
        <v>511</v>
      </c>
      <c r="C67" s="436"/>
    </row>
    <row r="68" spans="1:6" ht="18">
      <c r="B68" s="231" t="s">
        <v>512</v>
      </c>
    </row>
    <row r="69" spans="1:6" ht="15.6">
      <c r="B69" s="231" t="s">
        <v>513</v>
      </c>
    </row>
    <row r="70" spans="1:6" ht="15.6">
      <c r="B70" s="231"/>
    </row>
    <row r="71" spans="1:6" ht="15.6">
      <c r="B71" s="459" t="s">
        <v>514</v>
      </c>
      <c r="C71" s="459"/>
      <c r="D71" s="459"/>
      <c r="E71" s="459"/>
    </row>
    <row r="72" spans="1:6" ht="9" customHeight="1">
      <c r="A72" s="231"/>
    </row>
    <row r="73" spans="1:6" ht="31.5" customHeight="1">
      <c r="A73" s="454" t="s">
        <v>515</v>
      </c>
      <c r="B73" s="454" t="s">
        <v>361</v>
      </c>
      <c r="C73" s="454"/>
      <c r="D73" s="454"/>
      <c r="E73" s="454"/>
      <c r="F73" s="238"/>
    </row>
    <row r="75" spans="1:6" ht="15.6">
      <c r="B75" s="231" t="s">
        <v>516</v>
      </c>
    </row>
    <row r="76" spans="1:6" ht="18">
      <c r="B76" s="231" t="s">
        <v>512</v>
      </c>
    </row>
    <row r="77" spans="1:6" ht="15.6">
      <c r="B77" s="231" t="s">
        <v>517</v>
      </c>
    </row>
    <row r="78" spans="1:6" ht="14.25" customHeight="1">
      <c r="B78" s="231"/>
    </row>
    <row r="79" spans="1:6" ht="15.6">
      <c r="A79" s="231"/>
      <c r="B79" s="459" t="s">
        <v>518</v>
      </c>
      <c r="C79" s="459"/>
      <c r="D79" s="459"/>
      <c r="E79" s="459"/>
    </row>
  </sheetData>
  <mergeCells count="31">
    <mergeCell ref="A38:E38"/>
    <mergeCell ref="B79:E79"/>
    <mergeCell ref="B59:C59"/>
    <mergeCell ref="A2:D2"/>
    <mergeCell ref="A16:E16"/>
    <mergeCell ref="A23:D23"/>
    <mergeCell ref="A32:D32"/>
    <mergeCell ref="A34:A35"/>
    <mergeCell ref="C34:D35"/>
    <mergeCell ref="A37:D37"/>
    <mergeCell ref="A73:E73"/>
    <mergeCell ref="A42:E42"/>
    <mergeCell ref="B71:E71"/>
    <mergeCell ref="B67:C67"/>
    <mergeCell ref="A43:D43"/>
    <mergeCell ref="B45:E45"/>
    <mergeCell ref="A1:D1"/>
    <mergeCell ref="A3:D3"/>
    <mergeCell ref="A5:E5"/>
    <mergeCell ref="A7:E7"/>
    <mergeCell ref="A9:E9"/>
    <mergeCell ref="A65:E65"/>
    <mergeCell ref="B46:E46"/>
    <mergeCell ref="B47:E47"/>
    <mergeCell ref="A49:E49"/>
    <mergeCell ref="B51:E51"/>
    <mergeCell ref="B63:E63"/>
    <mergeCell ref="B52:E52"/>
    <mergeCell ref="B53:E53"/>
    <mergeCell ref="A55:E55"/>
    <mergeCell ref="A57:E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9</vt:i4>
      </vt:variant>
      <vt:variant>
        <vt:lpstr>Įvardytieji diapazonai</vt:lpstr>
      </vt:variant>
      <vt:variant>
        <vt:i4>1</vt:i4>
      </vt:variant>
    </vt:vector>
  </HeadingPairs>
  <TitlesOfParts>
    <vt:vector size="10" baseType="lpstr">
      <vt:lpstr>1 lentelė_1-2 lapai</vt:lpstr>
      <vt:lpstr> 2 lentelė_1-4 lapai -</vt:lpstr>
      <vt:lpstr>3 lentelė_1,2 lapai</vt:lpstr>
      <vt:lpstr>4 lentelė 1 lapas+ </vt:lpstr>
      <vt:lpstr>4 lentelė 2 lapas+</vt:lpstr>
      <vt:lpstr>4 lentelė 3,4,5  lapas+</vt:lpstr>
      <vt:lpstr>5_lentele</vt:lpstr>
      <vt:lpstr>6 lentelė+</vt:lpstr>
      <vt:lpstr>7 lentelė +</vt:lpstr>
      <vt:lpstr>'3 lentelė_1,2 lapai'!Print_Area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Raselė Bernotienė</dc:creator>
  <cp:lastModifiedBy>Eurika Norkienė</cp:lastModifiedBy>
  <cp:lastPrinted>2020-10-13T11:13:41Z</cp:lastPrinted>
  <dcterms:created xsi:type="dcterms:W3CDTF">2014-10-02T05:52:07Z</dcterms:created>
  <dcterms:modified xsi:type="dcterms:W3CDTF">2020-10-14T12:44:07Z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