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adas.Svilpauskas\Desktop\Gazoliai\KEITIMAS\Pakartotinis teikimas LRV tvirtinimui\"/>
    </mc:Choice>
  </mc:AlternateContent>
  <xr:revisionPtr revIDLastSave="0" documentId="13_ncr:1_{3896DF05-78CD-44A4-978B-41C5BC053FE6}" xr6:coauthVersionLast="45" xr6:coauthVersionMax="45" xr10:uidLastSave="{00000000-0000-0000-0000-000000000000}"/>
  <bookViews>
    <workbookView xWindow="-108" yWindow="-108" windowWidth="23256" windowHeight="12576" firstSheet="12" activeTab="12" xr2:uid="{3A1258E6-5C0B-4312-99CA-3FF97CA581B3}"/>
  </bookViews>
  <sheets>
    <sheet name="2020 m. siūlymai pagal 2019 m. " sheetId="5" state="hidden" r:id="rId1"/>
    <sheet name="2019 m. siūlymai pagal 2018 m." sheetId="4" state="hidden" r:id="rId2"/>
    <sheet name="Ūkinių metų duomenys" sheetId="2" state="hidden" r:id="rId3"/>
    <sheet name="E. Makšecko analizė" sheetId="11" state="hidden" r:id="rId4"/>
    <sheet name="Analizė Finansų sk." sheetId="6" state="hidden" r:id="rId5"/>
    <sheet name="Gyvuliai analizė" sheetId="15" state="hidden" r:id="rId6"/>
    <sheet name="Augalai analizė" sheetId="14" state="hidden" r:id="rId7"/>
    <sheet name="2016 m." sheetId="13" state="hidden" r:id="rId8"/>
    <sheet name="2017 m." sheetId="12" state="hidden" r:id="rId9"/>
    <sheet name="2018 m." sheetId="1" state="hidden" r:id="rId10"/>
    <sheet name="2019 m." sheetId="3" state="hidden" r:id="rId11"/>
    <sheet name="VDU siūlymai" sheetId="7" state="hidden" r:id="rId12"/>
    <sheet name="Netekčių sutaupymas" sheetId="18" r:id="rId13"/>
  </sheets>
  <externalReferences>
    <externalReference r:id="rId14"/>
  </externalReferences>
  <definedNames>
    <definedName name="part_008342419ab240218bf77baa0c964f4c" localSheetId="7">'2016 m.'!#REF!</definedName>
    <definedName name="part_008342419ab240218bf77baa0c964f4c" localSheetId="8">'2017 m.'!#REF!</definedName>
    <definedName name="part_876d74c1be7944b6a4e296375e730cef" localSheetId="7">'2016 m.'!$H$44</definedName>
    <definedName name="part_876d74c1be7944b6a4e296375e730cef" localSheetId="8">'2017 m.'!$H$44</definedName>
    <definedName name="part_e49528adebf64ce9867576f97db8b35f" localSheetId="7">'2016 m.'!#REF!</definedName>
    <definedName name="part_e49528adebf64ce9867576f97db8b35f" localSheetId="8">'2017 m.'!#REF!</definedName>
    <definedName name="_xlnm.Print_Area" localSheetId="7">'2016 m.'!$A$2:$G$43</definedName>
    <definedName name="_xlnm.Print_Area" localSheetId="8">'2017 m.'!$A$2:$G$43</definedName>
    <definedName name="_xlnm.Print_Area" localSheetId="9">'2018 m.'!$A$2:$F$49</definedName>
    <definedName name="_xlnm.Print_Area" localSheetId="10">'2019 m.'!$A$2:$F$54</definedName>
    <definedName name="_xlnm.Print_Area" localSheetId="4">'Analizė Finansų sk.'!$A$1:$M$111</definedName>
    <definedName name="_xlnm.Print_Area" localSheetId="6">'Augalai analizė'!$A$1:$L$104</definedName>
    <definedName name="_xlnm.Print_Area" localSheetId="5">'Gyvuliai analizė'!$A$1:$J$76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18" l="1"/>
  <c r="E43" i="18" l="1"/>
  <c r="E42" i="18"/>
  <c r="I42" i="18" l="1"/>
  <c r="J42" i="18" s="1"/>
  <c r="J43" i="18"/>
  <c r="L43" i="18" l="1"/>
  <c r="L42" i="18"/>
  <c r="C58" i="18"/>
  <c r="C54" i="18"/>
  <c r="I44" i="18"/>
  <c r="I41" i="18"/>
  <c r="J41" i="18" s="1"/>
  <c r="E41" i="18"/>
  <c r="I40" i="18"/>
  <c r="J40" i="18" s="1"/>
  <c r="E40" i="18"/>
  <c r="I39" i="18"/>
  <c r="J39" i="18" s="1"/>
  <c r="E39" i="18"/>
  <c r="I38" i="18"/>
  <c r="J38" i="18" s="1"/>
  <c r="E38" i="18"/>
  <c r="I37" i="18"/>
  <c r="J37" i="18" s="1"/>
  <c r="E37" i="18"/>
  <c r="I36" i="18"/>
  <c r="J36" i="18" s="1"/>
  <c r="E36" i="18"/>
  <c r="I35" i="18"/>
  <c r="J35" i="18" s="1"/>
  <c r="E35" i="18"/>
  <c r="I34" i="18"/>
  <c r="J34" i="18" s="1"/>
  <c r="E34" i="18"/>
  <c r="I33" i="18"/>
  <c r="J33" i="18" s="1"/>
  <c r="E33" i="18"/>
  <c r="I32" i="18"/>
  <c r="J32" i="18" s="1"/>
  <c r="E32" i="18"/>
  <c r="I31" i="18"/>
  <c r="J31" i="18" s="1"/>
  <c r="E31" i="18"/>
  <c r="I30" i="18"/>
  <c r="J30" i="18" s="1"/>
  <c r="E30" i="18"/>
  <c r="I29" i="18"/>
  <c r="J29" i="18" s="1"/>
  <c r="E29" i="18"/>
  <c r="I28" i="18"/>
  <c r="J28" i="18" s="1"/>
  <c r="E28" i="18"/>
  <c r="I27" i="18"/>
  <c r="J27" i="18" s="1"/>
  <c r="E27" i="18"/>
  <c r="I26" i="18"/>
  <c r="J26" i="18" s="1"/>
  <c r="E26" i="18"/>
  <c r="I25" i="18"/>
  <c r="J25" i="18" s="1"/>
  <c r="E25" i="18"/>
  <c r="I24" i="18"/>
  <c r="J24" i="18" s="1"/>
  <c r="E24" i="18"/>
  <c r="I23" i="18"/>
  <c r="J23" i="18" s="1"/>
  <c r="E23" i="18"/>
  <c r="I22" i="18"/>
  <c r="J22" i="18" s="1"/>
  <c r="E22" i="18"/>
  <c r="I21" i="18"/>
  <c r="J21" i="18" s="1"/>
  <c r="E21" i="18"/>
  <c r="I20" i="18"/>
  <c r="J20" i="18" s="1"/>
  <c r="E20" i="18"/>
  <c r="J44" i="18" l="1"/>
  <c r="C60" i="18"/>
  <c r="L20" i="18"/>
  <c r="L22" i="18"/>
  <c r="L24" i="18"/>
  <c r="L26" i="18"/>
  <c r="L28" i="18"/>
  <c r="L30" i="18"/>
  <c r="L32" i="18"/>
  <c r="L34" i="18"/>
  <c r="L36" i="18"/>
  <c r="L38" i="18"/>
  <c r="L40" i="18"/>
  <c r="L21" i="18"/>
  <c r="L23" i="18"/>
  <c r="L25" i="18"/>
  <c r="L27" i="18"/>
  <c r="L29" i="18"/>
  <c r="L31" i="18"/>
  <c r="L33" i="18"/>
  <c r="L35" i="18"/>
  <c r="L37" i="18"/>
  <c r="L39" i="18"/>
  <c r="L41" i="18"/>
  <c r="E44" i="18"/>
  <c r="F33" i="18" s="1"/>
  <c r="F20" i="18"/>
  <c r="F34" i="18"/>
  <c r="H76" i="15"/>
  <c r="I76" i="15" s="1"/>
  <c r="F76" i="15"/>
  <c r="G67" i="15" s="1"/>
  <c r="H75" i="15"/>
  <c r="F75" i="15"/>
  <c r="G75" i="15" s="1"/>
  <c r="H74" i="15"/>
  <c r="I74" i="15" s="1"/>
  <c r="F74" i="15"/>
  <c r="G74" i="15" s="1"/>
  <c r="H71" i="15"/>
  <c r="F71" i="15"/>
  <c r="G71" i="15" s="1"/>
  <c r="F66" i="15"/>
  <c r="G66" i="15" s="1"/>
  <c r="F65" i="15"/>
  <c r="G65" i="15" s="1"/>
  <c r="G62" i="15"/>
  <c r="G60" i="15"/>
  <c r="F59" i="15"/>
  <c r="F58" i="15"/>
  <c r="G58" i="15" s="1"/>
  <c r="G57" i="15"/>
  <c r="G54" i="15"/>
  <c r="H52" i="15"/>
  <c r="F52" i="15"/>
  <c r="G52" i="15" s="1"/>
  <c r="H51" i="15"/>
  <c r="I51" i="15" s="1"/>
  <c r="F51" i="15"/>
  <c r="G51" i="15" s="1"/>
  <c r="G50" i="15"/>
  <c r="G48" i="15"/>
  <c r="G47" i="15"/>
  <c r="G46" i="15"/>
  <c r="H45" i="15"/>
  <c r="F45" i="15"/>
  <c r="G45" i="15" s="1"/>
  <c r="H44" i="15"/>
  <c r="I44" i="15" s="1"/>
  <c r="F44" i="15"/>
  <c r="G44" i="15" s="1"/>
  <c r="G43" i="15"/>
  <c r="G41" i="15"/>
  <c r="G40" i="15"/>
  <c r="G39" i="15"/>
  <c r="H38" i="15"/>
  <c r="F38" i="15"/>
  <c r="G38" i="15" s="1"/>
  <c r="H37" i="15"/>
  <c r="I37" i="15" s="1"/>
  <c r="F37" i="15"/>
  <c r="G37" i="15" s="1"/>
  <c r="G36" i="15"/>
  <c r="G34" i="15"/>
  <c r="G33" i="15"/>
  <c r="G32" i="15"/>
  <c r="H31" i="15"/>
  <c r="F31" i="15"/>
  <c r="G31" i="15" s="1"/>
  <c r="H30" i="15"/>
  <c r="I30" i="15" s="1"/>
  <c r="F30" i="15"/>
  <c r="G30" i="15" s="1"/>
  <c r="G29" i="15"/>
  <c r="G27" i="15"/>
  <c r="G26" i="15"/>
  <c r="G25" i="15"/>
  <c r="H24" i="15"/>
  <c r="F24" i="15"/>
  <c r="G24" i="15" s="1"/>
  <c r="H23" i="15"/>
  <c r="I23" i="15" s="1"/>
  <c r="F23" i="15"/>
  <c r="G23" i="15" s="1"/>
  <c r="G22" i="15"/>
  <c r="G20" i="15"/>
  <c r="G19" i="15"/>
  <c r="G18" i="15"/>
  <c r="H17" i="15"/>
  <c r="F17" i="15"/>
  <c r="G17" i="15" s="1"/>
  <c r="H16" i="15"/>
  <c r="I16" i="15" s="1"/>
  <c r="F16" i="15"/>
  <c r="G16" i="15" s="1"/>
  <c r="G15" i="15"/>
  <c r="G13" i="15"/>
  <c r="G12" i="15"/>
  <c r="G11" i="15"/>
  <c r="H10" i="15"/>
  <c r="H73" i="15" s="1"/>
  <c r="F10" i="15"/>
  <c r="G10" i="15" s="1"/>
  <c r="H9" i="15"/>
  <c r="H72" i="15" s="1"/>
  <c r="I72" i="15" s="1"/>
  <c r="F9" i="15"/>
  <c r="G9" i="15" s="1"/>
  <c r="G8" i="15"/>
  <c r="J104" i="14"/>
  <c r="K104" i="14" s="1"/>
  <c r="H104" i="14"/>
  <c r="I13" i="14" s="1"/>
  <c r="J103" i="14"/>
  <c r="H103" i="14"/>
  <c r="J102" i="14"/>
  <c r="K102" i="14" s="1"/>
  <c r="H102" i="14"/>
  <c r="I102" i="14" s="1"/>
  <c r="J99" i="14"/>
  <c r="H99" i="14"/>
  <c r="K96" i="14"/>
  <c r="I96" i="14"/>
  <c r="J94" i="14"/>
  <c r="H94" i="14"/>
  <c r="J93" i="14"/>
  <c r="K93" i="14" s="1"/>
  <c r="H93" i="14"/>
  <c r="I93" i="14" s="1"/>
  <c r="K89" i="14"/>
  <c r="I89" i="14"/>
  <c r="J87" i="14"/>
  <c r="H87" i="14"/>
  <c r="J86" i="14"/>
  <c r="K86" i="14" s="1"/>
  <c r="H86" i="14"/>
  <c r="I86" i="14" s="1"/>
  <c r="K83" i="14"/>
  <c r="K82" i="14"/>
  <c r="J80" i="14"/>
  <c r="K80" i="14" s="1"/>
  <c r="H80" i="14"/>
  <c r="I80" i="14" s="1"/>
  <c r="J79" i="14"/>
  <c r="H79" i="14"/>
  <c r="K78" i="14"/>
  <c r="I78" i="14"/>
  <c r="K74" i="14"/>
  <c r="J73" i="14"/>
  <c r="H73" i="14"/>
  <c r="J72" i="14"/>
  <c r="K72" i="14" s="1"/>
  <c r="H72" i="14"/>
  <c r="I72" i="14" s="1"/>
  <c r="K69" i="14"/>
  <c r="K68" i="14"/>
  <c r="J66" i="14"/>
  <c r="K66" i="14" s="1"/>
  <c r="H66" i="14"/>
  <c r="I66" i="14" s="1"/>
  <c r="J65" i="14"/>
  <c r="H65" i="14"/>
  <c r="K64" i="14"/>
  <c r="I64" i="14"/>
  <c r="K60" i="14"/>
  <c r="J59" i="14"/>
  <c r="H59" i="14"/>
  <c r="J58" i="14"/>
  <c r="K58" i="14" s="1"/>
  <c r="H58" i="14"/>
  <c r="I58" i="14" s="1"/>
  <c r="K55" i="14"/>
  <c r="K54" i="14"/>
  <c r="J52" i="14"/>
  <c r="K52" i="14" s="1"/>
  <c r="H52" i="14"/>
  <c r="I52" i="14" s="1"/>
  <c r="J51" i="14"/>
  <c r="H51" i="14"/>
  <c r="K50" i="14"/>
  <c r="I50" i="14"/>
  <c r="K46" i="14"/>
  <c r="J45" i="14"/>
  <c r="H45" i="14"/>
  <c r="J44" i="14"/>
  <c r="K44" i="14" s="1"/>
  <c r="H44" i="14"/>
  <c r="I44" i="14" s="1"/>
  <c r="K41" i="14"/>
  <c r="K40" i="14"/>
  <c r="J38" i="14"/>
  <c r="K38" i="14" s="1"/>
  <c r="H38" i="14"/>
  <c r="I38" i="14" s="1"/>
  <c r="J37" i="14"/>
  <c r="H37" i="14"/>
  <c r="K36" i="14"/>
  <c r="I36" i="14"/>
  <c r="K32" i="14"/>
  <c r="J31" i="14"/>
  <c r="H31" i="14"/>
  <c r="J30" i="14"/>
  <c r="K30" i="14" s="1"/>
  <c r="H30" i="14"/>
  <c r="I30" i="14" s="1"/>
  <c r="K27" i="14"/>
  <c r="K26" i="14"/>
  <c r="J24" i="14"/>
  <c r="K24" i="14" s="1"/>
  <c r="H24" i="14"/>
  <c r="I24" i="14" s="1"/>
  <c r="J23" i="14"/>
  <c r="H23" i="14"/>
  <c r="K22" i="14"/>
  <c r="I22" i="14"/>
  <c r="K18" i="14"/>
  <c r="J17" i="14"/>
  <c r="H17" i="14"/>
  <c r="J16" i="14"/>
  <c r="K16" i="14" s="1"/>
  <c r="H16" i="14"/>
  <c r="I16" i="14" s="1"/>
  <c r="K13" i="14"/>
  <c r="K12" i="14"/>
  <c r="J10" i="14"/>
  <c r="H10" i="14"/>
  <c r="I10" i="14" s="1"/>
  <c r="J9" i="14"/>
  <c r="H9" i="14"/>
  <c r="K8" i="14"/>
  <c r="I8" i="14"/>
  <c r="I19" i="14" l="1"/>
  <c r="I33" i="14"/>
  <c r="I47" i="14"/>
  <c r="I61" i="14"/>
  <c r="I75" i="14"/>
  <c r="F30" i="18"/>
  <c r="I9" i="14"/>
  <c r="I15" i="14"/>
  <c r="I23" i="14"/>
  <c r="I31" i="14"/>
  <c r="K33" i="14"/>
  <c r="I45" i="14"/>
  <c r="K47" i="14"/>
  <c r="K53" i="14"/>
  <c r="I57" i="14"/>
  <c r="I65" i="14"/>
  <c r="I73" i="14"/>
  <c r="K75" i="14"/>
  <c r="I87" i="14"/>
  <c r="I94" i="14"/>
  <c r="I103" i="14"/>
  <c r="I17" i="15"/>
  <c r="I31" i="15"/>
  <c r="I45" i="15"/>
  <c r="I52" i="15"/>
  <c r="I58" i="15"/>
  <c r="I71" i="15"/>
  <c r="F28" i="18"/>
  <c r="K25" i="18"/>
  <c r="F42" i="18"/>
  <c r="F43" i="18"/>
  <c r="K42" i="18"/>
  <c r="K43" i="18"/>
  <c r="K11" i="14"/>
  <c r="I17" i="14"/>
  <c r="K19" i="14"/>
  <c r="K25" i="14"/>
  <c r="I29" i="14"/>
  <c r="I37" i="14"/>
  <c r="K39" i="14"/>
  <c r="I43" i="14"/>
  <c r="I51" i="14"/>
  <c r="I59" i="14"/>
  <c r="K61" i="14"/>
  <c r="K67" i="14"/>
  <c r="I71" i="14"/>
  <c r="I79" i="14"/>
  <c r="K81" i="14"/>
  <c r="I85" i="14"/>
  <c r="I92" i="14"/>
  <c r="I99" i="14"/>
  <c r="I73" i="15"/>
  <c r="I24" i="15"/>
  <c r="I38" i="15"/>
  <c r="I75" i="15"/>
  <c r="I12" i="14"/>
  <c r="K15" i="14"/>
  <c r="K17" i="14"/>
  <c r="K20" i="14"/>
  <c r="K23" i="14"/>
  <c r="I26" i="14"/>
  <c r="K29" i="14"/>
  <c r="K31" i="14"/>
  <c r="K34" i="14"/>
  <c r="K37" i="14"/>
  <c r="I40" i="14"/>
  <c r="K43" i="14"/>
  <c r="K45" i="14"/>
  <c r="K48" i="14"/>
  <c r="K51" i="14"/>
  <c r="I54" i="14"/>
  <c r="K57" i="14"/>
  <c r="K59" i="14"/>
  <c r="K62" i="14"/>
  <c r="K65" i="14"/>
  <c r="I68" i="14"/>
  <c r="K71" i="14"/>
  <c r="K73" i="14"/>
  <c r="K76" i="14"/>
  <c r="K79" i="14"/>
  <c r="I82" i="14"/>
  <c r="K85" i="14"/>
  <c r="K87" i="14"/>
  <c r="K92" i="14"/>
  <c r="K94" i="14"/>
  <c r="K99" i="14"/>
  <c r="K103" i="14"/>
  <c r="I65" i="15"/>
  <c r="F38" i="18"/>
  <c r="F22" i="18"/>
  <c r="F23" i="18"/>
  <c r="L44" i="18"/>
  <c r="M44" i="18" s="1"/>
  <c r="K36" i="18"/>
  <c r="K28" i="18"/>
  <c r="F36" i="18"/>
  <c r="F26" i="18"/>
  <c r="F39" i="18"/>
  <c r="F31" i="18"/>
  <c r="K37" i="18"/>
  <c r="F40" i="18"/>
  <c r="F32" i="18"/>
  <c r="F24" i="18"/>
  <c r="F41" i="18"/>
  <c r="F25" i="18"/>
  <c r="K29" i="18"/>
  <c r="K34" i="18"/>
  <c r="K26" i="18"/>
  <c r="K20" i="18"/>
  <c r="K35" i="18"/>
  <c r="K27" i="18"/>
  <c r="F37" i="18"/>
  <c r="F29" i="18"/>
  <c r="F21" i="18"/>
  <c r="K40" i="18"/>
  <c r="K32" i="18"/>
  <c r="K24" i="18"/>
  <c r="K23" i="18"/>
  <c r="K41" i="18"/>
  <c r="K33" i="18"/>
  <c r="F35" i="18"/>
  <c r="F27" i="18"/>
  <c r="K38" i="18"/>
  <c r="K30" i="18"/>
  <c r="K22" i="18"/>
  <c r="K39" i="18"/>
  <c r="K31" i="18"/>
  <c r="K21" i="18"/>
  <c r="J100" i="14"/>
  <c r="K100" i="14" s="1"/>
  <c r="H100" i="14"/>
  <c r="I100" i="14" s="1"/>
  <c r="H101" i="14"/>
  <c r="I101" i="14" s="1"/>
  <c r="J101" i="14"/>
  <c r="K101" i="14" s="1"/>
  <c r="G68" i="15"/>
  <c r="F72" i="15"/>
  <c r="G72" i="15" s="1"/>
  <c r="F73" i="15"/>
  <c r="G73" i="15" s="1"/>
  <c r="I8" i="15"/>
  <c r="I9" i="15"/>
  <c r="I10" i="15"/>
  <c r="I12" i="15"/>
  <c r="I15" i="15"/>
  <c r="I19" i="15"/>
  <c r="I22" i="15"/>
  <c r="I26" i="15"/>
  <c r="I29" i="15"/>
  <c r="I33" i="15"/>
  <c r="I36" i="15"/>
  <c r="I40" i="15"/>
  <c r="I43" i="15"/>
  <c r="I47" i="15"/>
  <c r="I50" i="15"/>
  <c r="I54" i="15"/>
  <c r="I57" i="15"/>
  <c r="I60" i="15"/>
  <c r="I62" i="15"/>
  <c r="I66" i="15"/>
  <c r="I68" i="15"/>
  <c r="G76" i="15"/>
  <c r="G55" i="15"/>
  <c r="G59" i="15"/>
  <c r="G64" i="15"/>
  <c r="G69" i="15"/>
  <c r="G53" i="15"/>
  <c r="G61" i="15"/>
  <c r="I11" i="15"/>
  <c r="I13" i="15"/>
  <c r="I18" i="15"/>
  <c r="I20" i="15"/>
  <c r="I25" i="15"/>
  <c r="I27" i="15"/>
  <c r="I32" i="15"/>
  <c r="I34" i="15"/>
  <c r="I39" i="15"/>
  <c r="I41" i="15"/>
  <c r="I46" i="15"/>
  <c r="I48" i="15"/>
  <c r="I53" i="15"/>
  <c r="I55" i="15"/>
  <c r="I59" i="15"/>
  <c r="I61" i="15"/>
  <c r="I64" i="15"/>
  <c r="I67" i="15"/>
  <c r="I69" i="15"/>
  <c r="I104" i="14"/>
  <c r="K9" i="14"/>
  <c r="K10" i="14"/>
  <c r="I11" i="14"/>
  <c r="I18" i="14"/>
  <c r="I20" i="14"/>
  <c r="I25" i="14"/>
  <c r="I27" i="14"/>
  <c r="I32" i="14"/>
  <c r="I34" i="14"/>
  <c r="I39" i="14"/>
  <c r="I41" i="14"/>
  <c r="I46" i="14"/>
  <c r="I48" i="14"/>
  <c r="I53" i="14"/>
  <c r="I55" i="14"/>
  <c r="I60" i="14"/>
  <c r="I62" i="14"/>
  <c r="I67" i="14"/>
  <c r="I69" i="14"/>
  <c r="I74" i="14"/>
  <c r="I76" i="14"/>
  <c r="I81" i="14"/>
  <c r="I83" i="14"/>
  <c r="I88" i="14"/>
  <c r="I90" i="14"/>
  <c r="I95" i="14"/>
  <c r="I97" i="14"/>
  <c r="K88" i="14"/>
  <c r="K90" i="14"/>
  <c r="K95" i="14"/>
  <c r="K97" i="14"/>
  <c r="F44" i="18" l="1"/>
  <c r="K44" i="18"/>
  <c r="E20" i="1" l="1"/>
  <c r="C52" i="3"/>
  <c r="C48" i="3"/>
  <c r="C54" i="3" l="1"/>
  <c r="I34" i="5"/>
  <c r="J34" i="5"/>
  <c r="F17" i="2"/>
  <c r="F12" i="2"/>
  <c r="F11" i="2"/>
  <c r="J17" i="2" l="1"/>
  <c r="J12" i="2"/>
  <c r="I42" i="5"/>
  <c r="E20" i="3" l="1"/>
  <c r="E21" i="5"/>
  <c r="E22" i="5"/>
  <c r="E23" i="5"/>
  <c r="E24" i="5"/>
  <c r="E25" i="5"/>
  <c r="E26" i="5"/>
  <c r="E27" i="5"/>
  <c r="E28" i="5"/>
  <c r="E29" i="5"/>
  <c r="E30" i="5"/>
  <c r="E31" i="5"/>
  <c r="E32" i="5"/>
  <c r="E33" i="5"/>
  <c r="E34" i="5"/>
  <c r="L34" i="5" s="1"/>
  <c r="E35" i="5"/>
  <c r="E36" i="5"/>
  <c r="E37" i="5"/>
  <c r="E38" i="5"/>
  <c r="E39" i="5"/>
  <c r="E40" i="5"/>
  <c r="E41" i="5"/>
  <c r="E20" i="5"/>
  <c r="C52" i="5" l="1"/>
  <c r="C48" i="5"/>
  <c r="C54" i="5" l="1"/>
  <c r="I41" i="5"/>
  <c r="J41" i="5" s="1"/>
  <c r="I40" i="5"/>
  <c r="J40" i="5" s="1"/>
  <c r="L40" i="5"/>
  <c r="I39" i="5"/>
  <c r="J39" i="5" s="1"/>
  <c r="I38" i="5"/>
  <c r="J38" i="5" s="1"/>
  <c r="L38" i="5" s="1"/>
  <c r="L37" i="5"/>
  <c r="I37" i="5"/>
  <c r="J37" i="5" s="1"/>
  <c r="I36" i="5"/>
  <c r="J36" i="5" s="1"/>
  <c r="L36" i="5" s="1"/>
  <c r="I35" i="5"/>
  <c r="J35" i="5" s="1"/>
  <c r="I33" i="5"/>
  <c r="J33" i="5" s="1"/>
  <c r="I32" i="5"/>
  <c r="I31" i="5"/>
  <c r="J31" i="5" s="1"/>
  <c r="L30" i="5"/>
  <c r="I30" i="5"/>
  <c r="J30" i="5" s="1"/>
  <c r="I29" i="5"/>
  <c r="J29" i="5" s="1"/>
  <c r="L29" i="5" s="1"/>
  <c r="L28" i="5"/>
  <c r="I28" i="5"/>
  <c r="J28" i="5" s="1"/>
  <c r="I27" i="5"/>
  <c r="J27" i="5" s="1"/>
  <c r="L27" i="5" s="1"/>
  <c r="L26" i="5"/>
  <c r="I26" i="5"/>
  <c r="J26" i="5" s="1"/>
  <c r="I25" i="5"/>
  <c r="J25" i="5" s="1"/>
  <c r="L25" i="5" s="1"/>
  <c r="I24" i="5"/>
  <c r="I23" i="5"/>
  <c r="J23" i="5" s="1"/>
  <c r="I22" i="5"/>
  <c r="J22" i="5" s="1"/>
  <c r="L22" i="5"/>
  <c r="I21" i="5"/>
  <c r="I20" i="5"/>
  <c r="J20" i="5" s="1"/>
  <c r="L20" i="5" s="1"/>
  <c r="C48" i="4"/>
  <c r="I42" i="4"/>
  <c r="I41" i="4"/>
  <c r="E41" i="4"/>
  <c r="J41" i="4" s="1"/>
  <c r="I40" i="4"/>
  <c r="E40" i="4"/>
  <c r="J40" i="4" s="1"/>
  <c r="I39" i="4"/>
  <c r="E39" i="4"/>
  <c r="J39" i="4" s="1"/>
  <c r="I38" i="4"/>
  <c r="E38" i="4"/>
  <c r="I37" i="4"/>
  <c r="E37" i="4"/>
  <c r="J37" i="4" s="1"/>
  <c r="I36" i="4"/>
  <c r="E36" i="4"/>
  <c r="I35" i="4"/>
  <c r="J35" i="4" s="1"/>
  <c r="E35" i="4"/>
  <c r="J34" i="4"/>
  <c r="I34" i="4"/>
  <c r="E34" i="4"/>
  <c r="I33" i="4"/>
  <c r="E33" i="4"/>
  <c r="J33" i="4" s="1"/>
  <c r="J32" i="4"/>
  <c r="I32" i="4"/>
  <c r="E32" i="4"/>
  <c r="I31" i="4"/>
  <c r="J31" i="4" s="1"/>
  <c r="E31" i="4"/>
  <c r="I30" i="4"/>
  <c r="E30" i="4"/>
  <c r="I29" i="4"/>
  <c r="J29" i="4" s="1"/>
  <c r="E29" i="4"/>
  <c r="I28" i="4"/>
  <c r="J28" i="4" s="1"/>
  <c r="E28" i="4"/>
  <c r="L28" i="4" s="1"/>
  <c r="I27" i="4"/>
  <c r="E27" i="4"/>
  <c r="J27" i="4" s="1"/>
  <c r="I26" i="4"/>
  <c r="E26" i="4"/>
  <c r="J26" i="4" s="1"/>
  <c r="I25" i="4"/>
  <c r="E25" i="4"/>
  <c r="J25" i="4" s="1"/>
  <c r="I24" i="4"/>
  <c r="J24" i="4" s="1"/>
  <c r="E24" i="4"/>
  <c r="I23" i="4"/>
  <c r="E23" i="4"/>
  <c r="J23" i="4" s="1"/>
  <c r="I22" i="4"/>
  <c r="E22" i="4"/>
  <c r="I21" i="4"/>
  <c r="J21" i="4" s="1"/>
  <c r="E21" i="4"/>
  <c r="I20" i="4"/>
  <c r="J20" i="4" s="1"/>
  <c r="E20" i="4"/>
  <c r="J21" i="5" l="1"/>
  <c r="L21" i="5" s="1"/>
  <c r="J32" i="5"/>
  <c r="K32" i="5" s="1"/>
  <c r="J24" i="5"/>
  <c r="L24" i="5" s="1"/>
  <c r="L20" i="4"/>
  <c r="L36" i="4"/>
  <c r="L24" i="4"/>
  <c r="L32" i="4"/>
  <c r="J36" i="4"/>
  <c r="L40" i="4"/>
  <c r="J22" i="4"/>
  <c r="L26" i="4"/>
  <c r="J30" i="4"/>
  <c r="L30" i="4" s="1"/>
  <c r="L34" i="4"/>
  <c r="J38" i="4"/>
  <c r="L38" i="4" s="1"/>
  <c r="L39" i="5"/>
  <c r="L31" i="5"/>
  <c r="L35" i="5"/>
  <c r="L41" i="5"/>
  <c r="E42" i="5"/>
  <c r="F28" i="5" s="1"/>
  <c r="L23" i="5"/>
  <c r="L33" i="5"/>
  <c r="F35" i="5"/>
  <c r="F33" i="5"/>
  <c r="K39" i="5"/>
  <c r="K28" i="5"/>
  <c r="K34" i="5"/>
  <c r="L33" i="4"/>
  <c r="L41" i="4"/>
  <c r="L27" i="4"/>
  <c r="L35" i="4"/>
  <c r="L37" i="4"/>
  <c r="L25" i="4"/>
  <c r="L31" i="4"/>
  <c r="L21" i="4"/>
  <c r="L23" i="4"/>
  <c r="L29" i="4"/>
  <c r="L39" i="4"/>
  <c r="E42" i="4"/>
  <c r="K33" i="4" s="1"/>
  <c r="L32" i="5" l="1"/>
  <c r="F34" i="4"/>
  <c r="K22" i="5"/>
  <c r="K23" i="5"/>
  <c r="F21" i="5"/>
  <c r="F26" i="4"/>
  <c r="K20" i="5"/>
  <c r="K41" i="5"/>
  <c r="F31" i="5"/>
  <c r="K22" i="4"/>
  <c r="K32" i="4"/>
  <c r="K23" i="4"/>
  <c r="K36" i="4"/>
  <c r="K26" i="4"/>
  <c r="L22" i="4"/>
  <c r="F40" i="4"/>
  <c r="F32" i="4"/>
  <c r="F24" i="4"/>
  <c r="J42" i="4"/>
  <c r="K38" i="4"/>
  <c r="K35" i="4"/>
  <c r="K28" i="4"/>
  <c r="K41" i="4"/>
  <c r="F38" i="4"/>
  <c r="F30" i="4"/>
  <c r="F22" i="4"/>
  <c r="K40" i="4"/>
  <c r="K29" i="4"/>
  <c r="K30" i="4"/>
  <c r="K34" i="4"/>
  <c r="F36" i="4"/>
  <c r="F28" i="4"/>
  <c r="F20" i="4"/>
  <c r="K31" i="4"/>
  <c r="K37" i="4"/>
  <c r="K20" i="4"/>
  <c r="F32" i="5"/>
  <c r="K40" i="5"/>
  <c r="K30" i="5"/>
  <c r="K37" i="5"/>
  <c r="K31" i="5"/>
  <c r="F23" i="5"/>
  <c r="F39" i="5"/>
  <c r="F22" i="5"/>
  <c r="F38" i="5"/>
  <c r="K25" i="5"/>
  <c r="F36" i="5"/>
  <c r="K38" i="5"/>
  <c r="K24" i="5"/>
  <c r="K29" i="5"/>
  <c r="K21" i="5"/>
  <c r="F29" i="5"/>
  <c r="F41" i="5"/>
  <c r="F26" i="5"/>
  <c r="F20" i="5"/>
  <c r="F34" i="5"/>
  <c r="F24" i="5"/>
  <c r="K35" i="5"/>
  <c r="K36" i="5"/>
  <c r="K26" i="5"/>
  <c r="J42" i="5"/>
  <c r="L42" i="5" s="1"/>
  <c r="K27" i="5"/>
  <c r="K33" i="5"/>
  <c r="F25" i="5"/>
  <c r="F37" i="5"/>
  <c r="F27" i="5"/>
  <c r="F30" i="5"/>
  <c r="F40" i="5"/>
  <c r="F39" i="4"/>
  <c r="F37" i="4"/>
  <c r="F35" i="4"/>
  <c r="F29" i="4"/>
  <c r="F27" i="4"/>
  <c r="F23" i="4"/>
  <c r="F21" i="4"/>
  <c r="L42" i="4"/>
  <c r="F41" i="4"/>
  <c r="F33" i="4"/>
  <c r="F31" i="4"/>
  <c r="F25" i="4"/>
  <c r="K39" i="4"/>
  <c r="K24" i="4"/>
  <c r="K21" i="4"/>
  <c r="K25" i="4"/>
  <c r="K27" i="4"/>
  <c r="K42" i="5" l="1"/>
  <c r="F42" i="4"/>
  <c r="K42" i="4"/>
  <c r="F42" i="5"/>
  <c r="C48" i="1" l="1"/>
  <c r="E41" i="3" l="1"/>
  <c r="E40" i="3" l="1"/>
  <c r="E39" i="3"/>
  <c r="E38" i="3"/>
  <c r="E37" i="3"/>
  <c r="E36" i="3"/>
  <c r="E35" i="3"/>
  <c r="E34" i="3"/>
  <c r="E33" i="3"/>
  <c r="E32" i="3"/>
  <c r="E31" i="3"/>
  <c r="E30" i="3"/>
  <c r="E29" i="3"/>
  <c r="E28" i="3"/>
  <c r="E27" i="3"/>
  <c r="E26" i="3"/>
  <c r="E25" i="3"/>
  <c r="E24" i="3"/>
  <c r="E23" i="3"/>
  <c r="E22" i="3"/>
  <c r="E21" i="3"/>
  <c r="K12" i="2"/>
  <c r="E42" i="3" l="1"/>
  <c r="J11" i="2"/>
  <c r="H17" i="2" l="1"/>
  <c r="G17" i="2"/>
  <c r="E17" i="2"/>
  <c r="I16" i="2"/>
  <c r="I12" i="2" s="1"/>
  <c r="I14" i="2"/>
  <c r="D14" i="2"/>
  <c r="D17" i="2" s="1"/>
  <c r="H12" i="2"/>
  <c r="G12" i="2"/>
  <c r="E12" i="2"/>
  <c r="D12" i="2"/>
  <c r="K11" i="2"/>
  <c r="I11" i="2"/>
  <c r="H11" i="2"/>
  <c r="G11" i="2"/>
  <c r="E11" i="2"/>
  <c r="D11" i="2"/>
  <c r="E41" i="1"/>
  <c r="E40" i="1"/>
  <c r="E39" i="1"/>
  <c r="E38" i="1"/>
  <c r="E37" i="1"/>
  <c r="E36" i="1"/>
  <c r="E35" i="1"/>
  <c r="E34" i="1"/>
  <c r="E33" i="1"/>
  <c r="E32" i="1"/>
  <c r="E31" i="1"/>
  <c r="E30" i="1"/>
  <c r="E29" i="1"/>
  <c r="E28" i="1"/>
  <c r="E27" i="1"/>
  <c r="E26" i="1"/>
  <c r="E25" i="1"/>
  <c r="E24" i="1"/>
  <c r="E23" i="1"/>
  <c r="E22" i="1"/>
  <c r="E21" i="1"/>
  <c r="I17" i="2" l="1"/>
  <c r="E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Vaištaras</author>
  </authors>
  <commentList>
    <comment ref="H19" authorId="0" shapeId="0" xr:uid="{2BF8DA74-7757-4659-810A-964409E82A39}">
      <text>
        <r>
          <rPr>
            <b/>
            <sz val="9"/>
            <color indexed="81"/>
            <rFont val="Tahoma"/>
            <family val="2"/>
            <charset val="186"/>
          </rPr>
          <t>Tomas Vaištaras:</t>
        </r>
        <r>
          <rPr>
            <sz val="9"/>
            <color indexed="81"/>
            <rFont val="Tahoma"/>
            <family val="2"/>
            <charset val="186"/>
          </rPr>
          <t xml:space="preserve">
Siūlymai buvo pateikti 2019 m. rudeniop LR Seime pradėjus svarstyti akcizų įstatymo pateiktų projektų pokyčius iš Tvarios žemės ūkio politikos grupės kolegų</t>
        </r>
      </text>
    </comment>
    <comment ref="K42" authorId="0" shapeId="0" xr:uid="{5F3B110A-926C-41A7-ABB7-3E40E912F6D3}">
      <text>
        <r>
          <rPr>
            <b/>
            <sz val="9"/>
            <color indexed="81"/>
            <rFont val="Tahoma"/>
            <family val="2"/>
            <charset val="186"/>
          </rPr>
          <t>Tomas Vaištaras:</t>
        </r>
        <r>
          <rPr>
            <sz val="9"/>
            <color indexed="81"/>
            <rFont val="Tahoma"/>
            <family val="2"/>
            <charset val="186"/>
          </rPr>
          <t xml:space="preserve">
Mūsų tikslas kad būtų nedaugiau 85 proc. po pakeitimų.
LR Vyriausybės 2019 m. spalio 16 d. protokoliniu sprendimu Nr. 41 yra pavesta ŽŪM iki 2020 m. birželio 1 d. parengti Nutarimo keitimo projektą, keičiant žemės ūkio produkcijos lengvatinių degalų kiekius, juos mažinant ir numatant ne mažiau kaip 15 proc. biudžeto netekčių sumažinimą.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Vaištaras</author>
  </authors>
  <commentList>
    <comment ref="H19" authorId="0" shapeId="0" xr:uid="{6B0D3BD4-3AF6-4978-96B4-E2CEBEC8F64F}">
      <text>
        <r>
          <rPr>
            <b/>
            <sz val="9"/>
            <color indexed="81"/>
            <rFont val="Tahoma"/>
            <family val="2"/>
            <charset val="186"/>
          </rPr>
          <t>Tomas Vaištaras:</t>
        </r>
        <r>
          <rPr>
            <sz val="9"/>
            <color indexed="81"/>
            <rFont val="Tahoma"/>
            <family val="2"/>
            <charset val="186"/>
          </rPr>
          <t xml:space="preserve">
Siūlymai buvo pateikti 2019 m. rudeniop LR Seime pradėjus svarstyti akcizų įstatymo pateiktų projektų pokyčius iš Tvarios žemės ūkio politikos grupės kolegų</t>
        </r>
      </text>
    </comment>
    <comment ref="K42" authorId="0" shapeId="0" xr:uid="{3C31B95A-1F28-4EFD-AF1C-47F55F4A5C13}">
      <text>
        <r>
          <rPr>
            <b/>
            <sz val="9"/>
            <color indexed="81"/>
            <rFont val="Tahoma"/>
            <family val="2"/>
            <charset val="186"/>
          </rPr>
          <t>Tomas Vaištaras:</t>
        </r>
        <r>
          <rPr>
            <sz val="9"/>
            <color indexed="81"/>
            <rFont val="Tahoma"/>
            <family val="2"/>
            <charset val="186"/>
          </rPr>
          <t xml:space="preserve">
Mūsų tikslas kad būtų nedaugiau 85 proc. po pakeitimų.
LR Vyriausybės 2019 m. spalio 16 d. protokoliniu sprendimu Nr. 41 yra pavesta ŽŪM iki 2020 m. birželio 1 d. parengti Nutarimo keitimo projektą, keičiant žemės ūkio produkcijos lengvatinių degalų kiekius, juos mažinant ir numatant ne mažiau kaip 15 proc. biudžeto netekčių sumažinimą.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Vaištaras</author>
  </authors>
  <commentList>
    <comment ref="K6" authorId="0" shapeId="0" xr:uid="{36E6CD70-72F3-4615-988E-AC213D1981CB}">
      <text>
        <r>
          <rPr>
            <b/>
            <sz val="9"/>
            <color indexed="81"/>
            <rFont val="Tahoma"/>
            <family val="2"/>
            <charset val="186"/>
          </rPr>
          <t>Tomas Vaištaras:</t>
        </r>
        <r>
          <rPr>
            <sz val="9"/>
            <color indexed="81"/>
            <rFont val="Tahoma"/>
            <family val="2"/>
            <charset val="186"/>
          </rPr>
          <t xml:space="preserve">
Atkreiptinas dėmesys - Ne pilni ūkiniai metai</t>
        </r>
      </text>
    </comment>
  </commentList>
</comments>
</file>

<file path=xl/sharedStrings.xml><?xml version="1.0" encoding="utf-8"?>
<sst xmlns="http://schemas.openxmlformats.org/spreadsheetml/2006/main" count="878" uniqueCount="265">
  <si>
    <t>1 lentelė</t>
  </si>
  <si>
    <t>Duomenys iš VMI rašto "Dėl informacijos pateikimo" Nr. (19.20-10E)R-</t>
  </si>
  <si>
    <t>Faktinis šios pagalbos gavėjų skaičius:</t>
  </si>
  <si>
    <t>Subjektai</t>
  </si>
  <si>
    <t>Paramos gavėjų skaičius</t>
  </si>
  <si>
    <t>Žemės ūkio</t>
  </si>
  <si>
    <t>Vidaus vandenų žuvininkystės</t>
  </si>
  <si>
    <t>Įsigytas lengvatiniu akcizo tarifu apmokestintų, dyzelinių degalų kiekis, litrais:</t>
  </si>
  <si>
    <t>Žemės ūkii</t>
  </si>
  <si>
    <t>Žuvininkystės reikmėms</t>
  </si>
  <si>
    <t>Leistinas įsigyti</t>
  </si>
  <si>
    <t>Faktiškai įsigyta</t>
  </si>
  <si>
    <t>Priklausantys degalų kiekiai bei žemės ūkio produkcijos plotai (kiekiai) pagal rūšis:</t>
  </si>
  <si>
    <t>Žemės ūkio produkcijos rūšis</t>
  </si>
  <si>
    <t>Produkcijos kiekis</t>
  </si>
  <si>
    <t>Degalų kiekis</t>
  </si>
  <si>
    <t>Biudžeto netektys</t>
  </si>
  <si>
    <t>Grūdiniai, ankštiniai ir kiti augalai, už kuriuos mokamos tiesioginės išmokos (ha)</t>
  </si>
  <si>
    <t>Rapsai (ha)</t>
  </si>
  <si>
    <t>Bulvės (ha)</t>
  </si>
  <si>
    <t>Daržovės (ha)</t>
  </si>
  <si>
    <t>Cukriniai runkeliai, pašariniai šakniavaisiai (ha)</t>
  </si>
  <si>
    <t>Versliniai (intensyviai prižiūrimi) sodai (ha)</t>
  </si>
  <si>
    <t>Versliniai (intensyviai prižiūrimi) uogynai (ha)</t>
  </si>
  <si>
    <t>Linai, pluoštinės kanapės (ha)</t>
  </si>
  <si>
    <t>Pievos ir ganyklos (ha)</t>
  </si>
  <si>
    <t>Pūdymai ir trumpos rotacijos želdiniai (ha)</t>
  </si>
  <si>
    <t>Pievos, skirtos prekinių žolinių pašarų produkcijos gamybai (ha)</t>
  </si>
  <si>
    <t>Grybai (substrato gaminimas ir grybų auginimas) (kv. m.)</t>
  </si>
  <si>
    <t>Grybai (grybų auginimas) (kv. m.)</t>
  </si>
  <si>
    <t>Arkliai (sutartiniai gyvuliai. Toliau -SG)</t>
  </si>
  <si>
    <t>Avys, ožkos (SG)</t>
  </si>
  <si>
    <t>Galvijai (SG)</t>
  </si>
  <si>
    <t>Kiaulės (SG)</t>
  </si>
  <si>
    <t>Paukščiai (SG)</t>
  </si>
  <si>
    <t>Kiti gyvūnai (SG)</t>
  </si>
  <si>
    <t>Bitės, kai laiko daugiau kaip 40 bičių šeimų (SG)</t>
  </si>
  <si>
    <t>Sraigės (SG)</t>
  </si>
  <si>
    <t>Sliekai (kv. m.)</t>
  </si>
  <si>
    <t>Iš viso:</t>
  </si>
  <si>
    <r>
      <t xml:space="preserve">Lietuvos Respublikos akcizų įstatymo (toliau – įstatymas) 37 straipsnio 1 dalyje numatyta, kad </t>
    </r>
    <r>
      <rPr>
        <i/>
        <sz val="11"/>
        <color theme="1"/>
        <rFont val="Times New Roman"/>
        <family val="1"/>
        <charset val="186"/>
      </rPr>
      <t xml:space="preserve">gazoliams taikomas 347 eurų už 1000 litrų produkto akcizų tarifas. </t>
    </r>
    <r>
      <rPr>
        <sz val="11"/>
        <color theme="1"/>
        <rFont val="Times New Roman"/>
        <family val="1"/>
        <charset val="186"/>
      </rPr>
      <t xml:space="preserve">Įstatymo 37 straipsnio 3 dalis numato, jog </t>
    </r>
    <r>
      <rPr>
        <i/>
        <sz val="11"/>
        <color theme="1"/>
        <rFont val="Times New Roman"/>
        <family val="1"/>
        <charset val="186"/>
      </rPr>
      <t>gazoliams, skirtiems naudoti žemės ūkio veiklos, įskaitant akvakultūros ar verslinės žvejybos vidaus vandenyse veiklą, subjektams žemės ūkio produktų gamybai, taikomas 56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r>
  </si>
  <si>
    <t>Žemės ūkio ministerijos finansų skyriaus skaičiavimais pagal VMI duomenys:</t>
  </si>
  <si>
    <t>Valstybės nedegautas akcizo mokesčio dydis, Eurais</t>
  </si>
  <si>
    <t>Eil. Nr.</t>
  </si>
  <si>
    <t>Rodikliai</t>
  </si>
  <si>
    <t>Mato vnt.</t>
  </si>
  <si>
    <t>Ūkiniai metai</t>
  </si>
  <si>
    <t>nuo 2012-07-01 iki 2013-06-30</t>
  </si>
  <si>
    <t>nuo 2013-07-01 iki 2014-06-30</t>
  </si>
  <si>
    <t>nuo 2014-07-01 iki 2015-06-30</t>
  </si>
  <si>
    <t>nuo 2015-07-01 iki 2016-06-30</t>
  </si>
  <si>
    <t>nuo 2016-07-01 iki 2017-06-30</t>
  </si>
  <si>
    <t>nuo 2017-07-01 iki 2018-06-30</t>
  </si>
  <si>
    <t>nuo 2018-07-01 iki 2019-06-30</t>
  </si>
  <si>
    <t>1.</t>
  </si>
  <si>
    <t>Pagal  LRV 2015 m. birželio 24 d.  nutarimą Nr. 667 žemės ūkio subjektų, galinčių įsigyti lengvatiniu akcizu apmokestintus dyzelinius degalus, skaičius</t>
  </si>
  <si>
    <t>vnt.</t>
  </si>
  <si>
    <t>2.</t>
  </si>
  <si>
    <t>Faktiškai pateikusių prašymus žemės ūkio subjektų, galinčių įsigyti lengvatiniu akcizu apmokestintus dyzelinius degalus, skaičius</t>
  </si>
  <si>
    <t>3.</t>
  </si>
  <si>
    <t xml:space="preserve">Pagal LRV 2015 m. birželio 24 d.  nutarimą Nr. 667 apskaičiuotas maksimalus žemės ūkio subjektams, galintiems įsigyti lengvatiniu akcizu dyzelinius degalus, degalų kiekis </t>
  </si>
  <si>
    <t>ltr.</t>
  </si>
  <si>
    <t>4.</t>
  </si>
  <si>
    <t>Faktiškai įsigytas žemės ūkio subjektų lengvatiniu akcizu neapmokestinamų dyzelinių degalų kiekis</t>
  </si>
  <si>
    <t>Lengvatiniu akcizų dyzelinių degalų panaudojimo kiekis</t>
  </si>
  <si>
    <t>proc.</t>
  </si>
  <si>
    <t>Biudžeto netektys dėl lengvatos taikymo</t>
  </si>
  <si>
    <t>Eur</t>
  </si>
  <si>
    <t>5.</t>
  </si>
  <si>
    <t>Dyzeliniams degalams taikomas akcizo mokesčio tarifas</t>
  </si>
  <si>
    <r>
      <t xml:space="preserve">Lt / Eur už  </t>
    </r>
    <r>
      <rPr>
        <strike/>
        <sz val="12"/>
        <rFont val="Times New Roman"/>
        <family val="1"/>
        <charset val="186"/>
      </rPr>
      <t xml:space="preserve"> </t>
    </r>
    <r>
      <rPr>
        <sz val="12"/>
        <rFont val="Times New Roman"/>
        <family val="1"/>
        <charset val="186"/>
      </rPr>
      <t xml:space="preserve"> tūkst ltr</t>
    </r>
  </si>
  <si>
    <r>
      <t>1043</t>
    </r>
    <r>
      <rPr>
        <sz val="8"/>
        <rFont val="Times New Roman"/>
        <family val="1"/>
        <charset val="186"/>
      </rPr>
      <t>LTL-</t>
    </r>
    <r>
      <rPr>
        <sz val="12"/>
        <rFont val="Times New Roman"/>
        <family val="1"/>
        <charset val="186"/>
      </rPr>
      <t>1140</t>
    </r>
    <r>
      <rPr>
        <sz val="8"/>
        <rFont val="Times New Roman"/>
        <family val="1"/>
        <charset val="186"/>
      </rPr>
      <t>LTL</t>
    </r>
  </si>
  <si>
    <r>
      <t xml:space="preserve">1140 </t>
    </r>
    <r>
      <rPr>
        <sz val="8"/>
        <rFont val="Times New Roman"/>
        <family val="1"/>
        <charset val="186"/>
      </rPr>
      <t>LTL</t>
    </r>
  </si>
  <si>
    <r>
      <t>1140</t>
    </r>
    <r>
      <rPr>
        <sz val="8"/>
        <rFont val="Times New Roman"/>
        <family val="1"/>
        <charset val="186"/>
      </rPr>
      <t>LTL</t>
    </r>
    <r>
      <rPr>
        <sz val="12"/>
        <rFont val="Times New Roman"/>
        <family val="1"/>
        <charset val="186"/>
      </rPr>
      <t>-330,17</t>
    </r>
    <r>
      <rPr>
        <sz val="8"/>
        <rFont val="Times New Roman"/>
        <family val="1"/>
        <charset val="186"/>
      </rPr>
      <t>€</t>
    </r>
  </si>
  <si>
    <t xml:space="preserve">330,17 - 347,00  </t>
  </si>
  <si>
    <t xml:space="preserve"> vidurkis Eur</t>
  </si>
  <si>
    <t>6.</t>
  </si>
  <si>
    <t>Žemės ūkio subjektams taikomas dyzeliniams degalams lengvatinio akcizo mokesčio tarifas</t>
  </si>
  <si>
    <t>Lt / Eur už  tūkst ltr</t>
  </si>
  <si>
    <t xml:space="preserve">21 - 56  </t>
  </si>
  <si>
    <t>7.</t>
  </si>
  <si>
    <t xml:space="preserve">Į valstybės biudžetą nesurinkta pajamų dėl žemės ūkio subjektams pritaikyto lengvatinio akcizo mokesčio </t>
  </si>
  <si>
    <t xml:space="preserve">Akcizų tarifo valiuta </t>
  </si>
  <si>
    <t>LTL</t>
  </si>
  <si>
    <t>LTL - EUR</t>
  </si>
  <si>
    <t>EUR</t>
  </si>
  <si>
    <t>________________________</t>
  </si>
  <si>
    <t>Duomenys iš VMI rašto "Dėl informacijos pateikimo"  Nr. (19.20-10E)R- ir 2020-05-07 VMI rašto "Dėl informacijos pateikimo" Nr. R-2132</t>
  </si>
  <si>
    <t>nuo 2019-07-01 iki 2020-05-05</t>
  </si>
  <si>
    <t xml:space="preserve">347 - 372,00  </t>
  </si>
  <si>
    <t xml:space="preserve">56 - 60  </t>
  </si>
  <si>
    <t>nuo 2018-01-01 iki 2019-01-01 biudžetinių metų</t>
  </si>
  <si>
    <t>nuo 2019-01-01 iki 2020-01-01 biudžetinių metų</t>
  </si>
  <si>
    <t>Duomenys iš 2020-05-07 VMI rašto "Dėl informacijos pateikimo" Nr. R-2132</t>
  </si>
  <si>
    <t>3 lentelė</t>
  </si>
  <si>
    <r>
      <rPr>
        <b/>
        <sz val="12"/>
        <color theme="1"/>
        <rFont val="Times New Roman"/>
        <family val="1"/>
        <charset val="186"/>
      </rPr>
      <t>iki 2019 m. Rudens sesijos:</t>
    </r>
    <r>
      <rPr>
        <sz val="12"/>
        <color theme="1"/>
        <rFont val="Times New Roman"/>
        <family val="1"/>
        <charset val="186"/>
      </rPr>
      <t xml:space="preserve"> Lietuvos Respublikos akcizų įstatymo (toliau – įstatymas) 37 straipsnio 1 dalyje numatyta, kad </t>
    </r>
    <r>
      <rPr>
        <i/>
        <sz val="11"/>
        <color theme="1"/>
        <rFont val="Times New Roman"/>
        <family val="1"/>
        <charset val="186"/>
      </rPr>
      <t xml:space="preserve">gazoliams taikomas 347 eurų už 1000 litrų produkto akcizų tarifas. </t>
    </r>
    <r>
      <rPr>
        <sz val="11"/>
        <color theme="1"/>
        <rFont val="Times New Roman"/>
        <family val="1"/>
        <charset val="186"/>
      </rPr>
      <t xml:space="preserve">Įstatymo 37 straipsnio 3 dalis numato, jog </t>
    </r>
    <r>
      <rPr>
        <i/>
        <sz val="11"/>
        <color theme="1"/>
        <rFont val="Times New Roman"/>
        <family val="1"/>
        <charset val="186"/>
      </rPr>
      <t>gazoliams, skirtiems naudoti žemės ūkio veiklos, įskaitant akvakultūros ar verslinės žvejybos vidaus vandenyse veiklą, subjektams žemės ūkio produktų gamybai, taikomas 56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r>
  </si>
  <si>
    <r>
      <rPr>
        <b/>
        <sz val="12"/>
        <color theme="1"/>
        <rFont val="Times New Roman"/>
        <family val="1"/>
        <charset val="186"/>
      </rPr>
      <t>Nuo 2020 m.:</t>
    </r>
    <r>
      <rPr>
        <sz val="12"/>
        <color theme="1"/>
        <rFont val="Times New Roman"/>
        <family val="1"/>
        <charset val="186"/>
      </rPr>
      <t xml:space="preserve"> Lietuvos Respublikos akcizų įstatymo (toliau – įstatymas) 37 straipsnio 1 dalyje numatyta, kad </t>
    </r>
    <r>
      <rPr>
        <i/>
        <sz val="11"/>
        <color theme="1"/>
        <rFont val="Times New Roman"/>
        <family val="1"/>
        <charset val="186"/>
      </rPr>
      <t xml:space="preserve">gazoliams taikomas 372 eurų už 1000 litrų produkto akcizų tarifas. </t>
    </r>
    <r>
      <rPr>
        <sz val="11"/>
        <color theme="1"/>
        <rFont val="Times New Roman"/>
        <family val="1"/>
        <charset val="186"/>
      </rPr>
      <t xml:space="preserve">Įstatymo 37 straipsnio 3 dalis numato, jog </t>
    </r>
    <r>
      <rPr>
        <i/>
        <sz val="11"/>
        <color theme="1"/>
        <rFont val="Times New Roman"/>
        <family val="1"/>
        <charset val="186"/>
      </rPr>
      <t>gazoliams, skirtiems naudoti žemės ūkio veiklos, įskaitant akvakultūros ar verslinės žvejybos vidaus vandenyse veiklą, subjektams žemės ūkio produktų gamybai, taikomas 60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r>
  </si>
  <si>
    <t>Degalų kiekis, litrais</t>
  </si>
  <si>
    <t>Biudžeto netektys, EUR</t>
  </si>
  <si>
    <t>Procentinė išraiška, %</t>
  </si>
  <si>
    <t>Esama kuro norma, litrai/ha</t>
  </si>
  <si>
    <t>Siūloma kuro norma, litrai/ha</t>
  </si>
  <si>
    <t xml:space="preserve">Nauji kiekiai </t>
  </si>
  <si>
    <t>Biudžeto netektys po normų peržiūros</t>
  </si>
  <si>
    <t>Procentinė išraiška po pakeitimų, %</t>
  </si>
  <si>
    <t>Biudžeto sutaupymai, EUR</t>
  </si>
  <si>
    <t>nuo 2019-01-01 iki 2020-01-01 biudžetinių metų (naujausi duomenys)</t>
  </si>
  <si>
    <t>Lengvatinių degalų kiekis, tenkantis vienam deklaruotų žemės ūkio naudmenų hektarui, litrais:</t>
  </si>
  <si>
    <t>5 lentelė</t>
  </si>
  <si>
    <t>4 lentelė</t>
  </si>
  <si>
    <t>Nuo 2020 m.: Lietuvos Respublikos akcizų įstatymo (toliau – įstatymas) 37 straipsnio 1 dalyje numatyta, kad gazoliams taikomas 372 eurų už 1000 litrų produkto akcizų tarifas. Įstatymo 37 straipsnio 3 dalis numato, jog gazoliams, skirtiems naudoti žemės ūkio veiklos, įskaitant akvakultūros ar verslinės žvejybos vidaus vandenyse veiklą, subjektams žemės ūkio produktų gamybai, taikomas 60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</si>
  <si>
    <t>BENDRI KIEKIAI</t>
  </si>
  <si>
    <t>Matavimo vienetas</t>
  </si>
  <si>
    <t>Gazolių norma pagal LRV 2015 m. birželio 26 d. nutarimą Nr. 667</t>
  </si>
  <si>
    <t>Ūkių skaičius</t>
  </si>
  <si>
    <t>Ūkių skaičius (pasikartojantis)</t>
  </si>
  <si>
    <t>% nuo viso</t>
  </si>
  <si>
    <t>Ūkių užiimamas plotas /  laikomi SG vienetai</t>
  </si>
  <si>
    <t xml:space="preserve">Lengvatinio gazolio kiekis </t>
  </si>
  <si>
    <t>I.</t>
  </si>
  <si>
    <t>Augalininkystės produkcijos rūšis, kurios daugiausiai sunaudoja gazolio</t>
  </si>
  <si>
    <t>Grūdiniai, ankštiniai ir kiti augalai, už kuriuos mokamos tiesioginės išmokos</t>
  </si>
  <si>
    <t>l už ha</t>
  </si>
  <si>
    <t>Rapsai</t>
  </si>
  <si>
    <t>Bulvės</t>
  </si>
  <si>
    <t>Daržovės (morkos)</t>
  </si>
  <si>
    <t>Cukriniai runkeliai, pašariniai šakniavaisiai</t>
  </si>
  <si>
    <t>Versliniai (intensyviai prižiūrimi) sodai</t>
  </si>
  <si>
    <t>Versliniai (intensyviai prižiūrimi) uogynai</t>
  </si>
  <si>
    <t>8.</t>
  </si>
  <si>
    <t>Linai, pluoštinės kanapės</t>
  </si>
  <si>
    <t>9.</t>
  </si>
  <si>
    <t>Pievos, išskyrus pievas, skirtas prekinių žolinių pašarų produkcijos gamybai, ir ganyklos</t>
  </si>
  <si>
    <t>10.</t>
  </si>
  <si>
    <t>Pūdymai ir trumpos rotacijos želdiniai</t>
  </si>
  <si>
    <t>11.</t>
  </si>
  <si>
    <t>Pievos, skirtos prekinių žolinių pašarų produkcijos gamybai</t>
  </si>
  <si>
    <t>12.</t>
  </si>
  <si>
    <t>Grybai (substrato gaminimas ir grybų auginimas)</t>
  </si>
  <si>
    <t>l už kv. m</t>
  </si>
  <si>
    <t>13.</t>
  </si>
  <si>
    <t>Grybai (grybų auginimas)</t>
  </si>
  <si>
    <t>II.</t>
  </si>
  <si>
    <t>Gyvulininkystės produkcijos rūšis, kurios daugiausiai sunaudoja gazolio</t>
  </si>
  <si>
    <t>Arkliai</t>
  </si>
  <si>
    <t>l už SG</t>
  </si>
  <si>
    <t>X</t>
  </si>
  <si>
    <t>Avys, ožkos, broileriai</t>
  </si>
  <si>
    <t>Galvijai</t>
  </si>
  <si>
    <t>Kiaulės</t>
  </si>
  <si>
    <t>Paukščiai, išskyrus broilerius</t>
  </si>
  <si>
    <t>Kiti gyvūnai</t>
  </si>
  <si>
    <t>Bitės, kai laikoma daugiau kaip 40 bičių šeimų</t>
  </si>
  <si>
    <t>l už šeimą</t>
  </si>
  <si>
    <t>Sraigės</t>
  </si>
  <si>
    <t>Sliekai</t>
  </si>
  <si>
    <t>Dabar galiojanti norma</t>
  </si>
  <si>
    <t>Min</t>
  </si>
  <si>
    <t>Max</t>
  </si>
  <si>
    <t>Rekomen-duojama norma</t>
  </si>
  <si>
    <t>Daržovės</t>
  </si>
  <si>
    <t>Pievos, išskyrus pievas, skirtas prekinių žolinių pašarų produkcijos gamybai*****, ir ganyklos</t>
  </si>
  <si>
    <t>Grybai (substrato gaminimas ir grybų auginimas)*</t>
  </si>
  <si>
    <t>Grybai (grybų auginimas)**</t>
  </si>
  <si>
    <t>14.</t>
  </si>
  <si>
    <t>15.</t>
  </si>
  <si>
    <t>16.</t>
  </si>
  <si>
    <t>17.</t>
  </si>
  <si>
    <t>18.</t>
  </si>
  <si>
    <t>19.</t>
  </si>
  <si>
    <t>20.</t>
  </si>
  <si>
    <t>Sraigės*</t>
  </si>
  <si>
    <t>o21.</t>
  </si>
  <si>
    <t>22.</t>
  </si>
  <si>
    <t>23.</t>
  </si>
  <si>
    <t>Broileriai</t>
  </si>
  <si>
    <t>x</t>
  </si>
  <si>
    <t>24.</t>
  </si>
  <si>
    <t>Kukurūzai silosui</t>
  </si>
  <si>
    <t>6 lentelė</t>
  </si>
  <si>
    <t>4.1.</t>
  </si>
  <si>
    <t>4.2.</t>
  </si>
  <si>
    <t>Informacija apie lengvatiniu akcizu apmokestinamus dyzelinius degalus 2012-2020 metais</t>
  </si>
  <si>
    <t>Už 2019 m. pagal VMI atsiųstus sunaudotus kiekius 2019 m. akcizo tarifu</t>
  </si>
  <si>
    <t>Už 2019 m. įvertinus akcizo padidėjimą nuo 2020-01-01, pritaikius naują akcizo tarifą</t>
  </si>
  <si>
    <t>Prognuozojamas biudžeto netekčių pagal 2019 m. sunaudotus kiekius skirtumas dėl nuo 2020-01-01 akcizų pasikeitimo, Eurais:</t>
  </si>
  <si>
    <t>Už 2018 m. pagal VMI atsiųstus sunaudotus kiekius 2019 m. akcizo tarifu</t>
  </si>
  <si>
    <r>
      <rPr>
        <b/>
        <sz val="12"/>
        <color theme="1"/>
        <rFont val="Times New Roman"/>
        <family val="1"/>
        <charset val="186"/>
      </rPr>
      <t>iki 2020 m.:</t>
    </r>
    <r>
      <rPr>
        <sz val="12"/>
        <color theme="1"/>
        <rFont val="Times New Roman"/>
        <family val="1"/>
        <charset val="186"/>
      </rPr>
      <t xml:space="preserve"> Lietuvos Respublikos akcizų įstatymo (toliau – įstatymas) 37 straipsnio 1 dalyje numatyta, kad </t>
    </r>
    <r>
      <rPr>
        <i/>
        <sz val="11"/>
        <color theme="1"/>
        <rFont val="Times New Roman"/>
        <family val="1"/>
        <charset val="186"/>
      </rPr>
      <t xml:space="preserve">gazoliams taikomas 347 eurų už 1000 litrų produkto akcizų tarifas. </t>
    </r>
    <r>
      <rPr>
        <sz val="11"/>
        <color theme="1"/>
        <rFont val="Times New Roman"/>
        <family val="1"/>
        <charset val="186"/>
      </rPr>
      <t xml:space="preserve">Įstatymo 37 straipsnio 3 dalis numato, jog </t>
    </r>
    <r>
      <rPr>
        <i/>
        <sz val="11"/>
        <color theme="1"/>
        <rFont val="Times New Roman"/>
        <family val="1"/>
        <charset val="186"/>
      </rPr>
      <t>gazoliams, skirtiems naudoti žemės ūkio veiklos, įskaitant akvakultūros ar verslinės žvejybos vidaus vandenyse veiklą, subjektams žemės ūkio produktų gamybai, taikomas 56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r>
  </si>
  <si>
    <t>Duomenys iš VĮ ŽŪIKVC pateikti 2019 metais</t>
  </si>
  <si>
    <t>7 lentelė</t>
  </si>
  <si>
    <r>
      <rPr>
        <b/>
        <sz val="12"/>
        <color theme="1"/>
        <rFont val="Times New Roman"/>
        <family val="1"/>
        <charset val="186"/>
      </rPr>
      <t>2019 m. galiojo.:</t>
    </r>
    <r>
      <rPr>
        <sz val="12"/>
        <color theme="1"/>
        <rFont val="Times New Roman"/>
        <family val="1"/>
        <charset val="186"/>
      </rPr>
      <t xml:space="preserve"> Lietuvos Respublikos akcizų įstatymo (toliau – įstatymas) 37 straipsnio 1 dalyje numatyta, kad </t>
    </r>
    <r>
      <rPr>
        <i/>
        <sz val="11"/>
        <color theme="1"/>
        <rFont val="Times New Roman"/>
        <family val="1"/>
        <charset val="186"/>
      </rPr>
      <t xml:space="preserve">gazoliams taikomas 347 eurų už 1000 litrų produkto akcizų tarifas. </t>
    </r>
    <r>
      <rPr>
        <sz val="11"/>
        <color theme="1"/>
        <rFont val="Times New Roman"/>
        <family val="1"/>
        <charset val="186"/>
      </rPr>
      <t xml:space="preserve">Įstatymo 37 straipsnio 3 dalis numato, jog </t>
    </r>
    <r>
      <rPr>
        <i/>
        <sz val="11"/>
        <color theme="1"/>
        <rFont val="Times New Roman"/>
        <family val="1"/>
        <charset val="186"/>
      </rPr>
      <t>gazoliams, skirtiems naudoti žemės ūkio veiklos, įskaitant akvakultūros ar verslinės žvejybos vidaus vandenyse veiklą, subjektams žemės ūkio produktų gamybai, taikomas 56 eurų už 1000 litrų produkto akcizų tarifas, per vienus metus neviršijant Vyriausybės nustatytų gazolių kiekių. Šioje dalyje gazolių kiekis nurodytas esant jų 15 °C temperatūrai. Šioje dalyje nustatytos lengvatos taikymo tvarką nustato Vyriausybė ar jos įgaliota institucija.</t>
    </r>
  </si>
  <si>
    <t>8 lentelė</t>
  </si>
  <si>
    <t>9 lentelė</t>
  </si>
  <si>
    <t>Metai</t>
  </si>
  <si>
    <t>Mln. Eur</t>
  </si>
  <si>
    <t>Panaudotas lengvatinių degalų kiekis, t</t>
  </si>
  <si>
    <t>Panaudotas lengvatinių degalų kiekis l/ha už visas produkcijos rūšis</t>
  </si>
  <si>
    <t>...</t>
  </si>
  <si>
    <t>158182*</t>
  </si>
  <si>
    <t>2003-2017</t>
  </si>
  <si>
    <t>*- 2017 m. paramos gavėjų skaičius išaugo nes: 1) pasikeitė VMI leidimų generavimo tvarka, el.leidimai automatiškai generuojami visiems turintiems teisę į lengvatą (ankščiau sugeneruodavo tik tiems kurie kreipiasi leidimo); 2) lengvatos gavėjais tapo asmenys įregistravę žemės ūkio valdą (buvo ūkiai, bendrovės t.t.).</t>
  </si>
  <si>
    <r>
      <t>Duomenys iš P</t>
    </r>
    <r>
      <rPr>
        <i/>
        <sz val="11"/>
        <color theme="1"/>
        <rFont val="Calibri"/>
        <family val="2"/>
        <charset val="186"/>
        <scheme val="minor"/>
      </rPr>
      <t>AŽYMA DĖL LENGVATINIU AKCIZO TARIFU APMOKESTINTŲ GAZOLIŲ NAUDOJIMO rengėjas: E. Makšeckas</t>
    </r>
    <r>
      <rPr>
        <sz val="11"/>
        <color theme="1"/>
        <rFont val="Calibri"/>
        <family val="2"/>
        <charset val="186"/>
        <scheme val="minor"/>
      </rPr>
      <t xml:space="preserve">
</t>
    </r>
  </si>
  <si>
    <t>Statistinė/finansinė informacija apie lengvatiniu akcizo tarifu apmokestintų gazolių mokestinę lengvatą:</t>
  </si>
  <si>
    <t>Žemės ūkiui</t>
  </si>
  <si>
    <t xml:space="preserve"> Lengvatinių degalų kiekis, tenkantis vienam deklaruotų žemės ūkio naudmenų hektarui:</t>
  </si>
  <si>
    <t xml:space="preserve">Degalų kiekis vienam hektarui </t>
  </si>
  <si>
    <t xml:space="preserve">Tik už žemės ūkio naudmenas </t>
  </si>
  <si>
    <t>leista  80,978 panaudota 79,196</t>
  </si>
  <si>
    <t>Už visas produkcijos rūšis</t>
  </si>
  <si>
    <t>leista 104,628 panaudota 102,325</t>
  </si>
  <si>
    <t>leista  81,155 panaudota 77,585</t>
  </si>
  <si>
    <t>leista 105,2 panaudota 100,571</t>
  </si>
  <si>
    <t>Gazolių, skirtų naudoti žemės ūkio produktų gamybai, kiekių vienam matamvimo vienetui sąrašas</t>
  </si>
  <si>
    <t>Ūkių skaičius, vnt. (pasikartojantis)</t>
  </si>
  <si>
    <t>Ūkių užiimamas plotas, ha /  laikomi SG vienetai</t>
  </si>
  <si>
    <t>% pagal ha nuo visų produkcijos rūšių</t>
  </si>
  <si>
    <t>Lengvatinio gazolio kiekis, Ltr.</t>
  </si>
  <si>
    <t>% pagal Ltr. nuo visų produkcijos rūšių</t>
  </si>
  <si>
    <t>Augalininkystės produkcijos rūšis</t>
  </si>
  <si>
    <t>Ūkiai iki 30 ha:</t>
  </si>
  <si>
    <t>Ūkiai nuo 30,01 ha iki 40 ha:</t>
  </si>
  <si>
    <t>Ūkiai nuo 40,01 iki 50 ha:</t>
  </si>
  <si>
    <t>Ūkiai nuo 50,01 ha iki 500 ha:</t>
  </si>
  <si>
    <t>Ūkiai virš 500 ha</t>
  </si>
  <si>
    <t>Iš viso tarp visų augalininkystės produkcijos rūšių</t>
  </si>
  <si>
    <t>Visos augalininkystės produkcijos rūšis</t>
  </si>
  <si>
    <t>Suma</t>
  </si>
  <si>
    <t>Gyvulininkystės produkcijos rūšis</t>
  </si>
  <si>
    <t>Ūkiai turintys iki 30 sąlyginio gyvulio</t>
  </si>
  <si>
    <t>l už sąlyginį gyvulį</t>
  </si>
  <si>
    <t>Ūkiai turintys nuo 30,01 iki 40 sąlyginio gyvulio</t>
  </si>
  <si>
    <t>Ūkiai turintys nuo 40,01 iki 50 sąlyginio gyvulio</t>
  </si>
  <si>
    <t>Ūkiai turintys nuo 50,01 iki 500 sąlyginio gyvulio</t>
  </si>
  <si>
    <t>Ūkiai turintys virš 500,01 sąlyginio gyvulio</t>
  </si>
  <si>
    <t>Iš viso tarp visų gyvulininkystės produkcijos rūšių</t>
  </si>
  <si>
    <t>l už kv. m.</t>
  </si>
  <si>
    <t>Visos gyvulininkystės produkcijos rūšis</t>
  </si>
  <si>
    <t>10 lentelė</t>
  </si>
  <si>
    <t>11 lentelė</t>
  </si>
  <si>
    <t>13 lentelė</t>
  </si>
  <si>
    <t>nuo 2016-01-01 iki 2017-01-01 biudžetinių metų</t>
  </si>
  <si>
    <t>nuo 2017-01-01 iki 2018-01-01 biudžetinių metų</t>
  </si>
  <si>
    <t>Kiekis, litrais</t>
  </si>
  <si>
    <t>Veikla, kurioje sunaudotas dyzelinas</t>
  </si>
  <si>
    <t>Pagalbos gavėjų skaičius</t>
  </si>
  <si>
    <t>Litrų/ha</t>
  </si>
  <si>
    <t>litrai/ha</t>
  </si>
  <si>
    <t>Faktiškai sunaudotas degalų kiekis, litrais</t>
  </si>
  <si>
    <t>Netekčių dalis, proc</t>
  </si>
  <si>
    <t>Duomenys iš VDU galutinės ataskaitos: 41 lentelė. Gazolių, skirtų žemės ūkio produktams gaminti, rekomenduojamos normos</t>
  </si>
  <si>
    <r>
      <rPr>
        <b/>
        <sz val="11"/>
        <rFont val="Calibri"/>
        <family val="2"/>
        <charset val="186"/>
        <scheme val="minor"/>
      </rPr>
      <t>Juodai</t>
    </r>
    <r>
      <rPr>
        <sz val="11"/>
        <color theme="1"/>
        <rFont val="Calibri"/>
        <family val="2"/>
        <charset val="186"/>
        <scheme val="minor"/>
      </rPr>
      <t xml:space="preserve"> pažymėta naujai pasiūlytų produkcijos  rūšių   normos</t>
    </r>
  </si>
  <si>
    <r>
      <rPr>
        <sz val="11"/>
        <color rgb="FFFF0000"/>
        <rFont val="Calibri"/>
        <family val="2"/>
        <charset val="186"/>
        <scheme val="minor"/>
      </rPr>
      <t>Raudonai</t>
    </r>
    <r>
      <rPr>
        <sz val="11"/>
        <color theme="1"/>
        <rFont val="Calibri"/>
        <family val="2"/>
        <charset val="186"/>
        <scheme val="minor"/>
      </rPr>
      <t xml:space="preserve"> pažymėta rekomenduojamos normos, kurios didenės už  dabar galiojančias normas</t>
    </r>
  </si>
  <si>
    <r>
      <rPr>
        <sz val="11"/>
        <color rgb="FF00B050"/>
        <rFont val="Calibri"/>
        <family val="2"/>
        <charset val="186"/>
        <scheme val="minor"/>
      </rPr>
      <t>Žaliai</t>
    </r>
    <r>
      <rPr>
        <sz val="11"/>
        <color theme="1"/>
        <rFont val="Calibri"/>
        <family val="2"/>
        <charset val="186"/>
        <scheme val="minor"/>
      </rPr>
      <t xml:space="preserve">  pažymėta  rekomenduojamos normos, kurios mažesnės  už dabar galiojančias normas</t>
    </r>
  </si>
  <si>
    <t>Mokslininkų siūloma kuro norma, litrai/ha</t>
  </si>
  <si>
    <t>*Duomenys iš 2020-05-07 VMI rašto "Dėl informacijos pateikimo" Nr. R-2132</t>
  </si>
  <si>
    <t>Biudžeto netekčių skaičiavimas (biudžetiniai metai 2019-01-01 - 2020-01-01) taikant 2020 m. akcizo normą:</t>
  </si>
  <si>
    <t>Palyginimas (Biudžeto sutaupymai (+) / netektys (-), EUR)</t>
  </si>
  <si>
    <t>Biudžeto netektys po normų peržiūros, EUR</t>
  </si>
  <si>
    <t>Esama degalų norma, litrai/ha</t>
  </si>
  <si>
    <t>Nauji degalų kiekiai, litrais (pagal siūlomas normas)</t>
  </si>
  <si>
    <t xml:space="preserve">Pievos ir ganyklos </t>
  </si>
  <si>
    <t>Galutinis sutaupymas proc:</t>
  </si>
  <si>
    <t>Broileriai (naujas iškeltas iš 15 eilutės)</t>
  </si>
  <si>
    <t>Kukurūzai pašarui (naujas iškeltas iš 1 eilutės)</t>
  </si>
  <si>
    <t xml:space="preserve"> 2019-01-01 iki 2020-01-01 biudžetiniai metai (naujausi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</si>
</sst>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0_-;\-* #,##0.000_-;_-* &quot;-&quot;??_-;_-@_-"/>
  </numFmts>
  <fonts count="41"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Times New Roman"/>
      <family val="1"/>
      <charset val="186"/>
    </font>
    <font>
      <i/>
      <sz val="11"/>
      <color theme="1"/>
      <name val="Times New Roman"/>
      <family val="1"/>
      <charset val="186"/>
    </font>
    <font>
      <sz val="11"/>
      <color theme="1"/>
      <name val="Times New Roman"/>
      <family val="1"/>
      <charset val="186"/>
    </font>
    <font>
      <b/>
      <sz val="14"/>
      <color theme="1"/>
      <name val="Times New Roman"/>
      <family val="1"/>
      <charset val="186"/>
    </font>
    <font>
      <b/>
      <sz val="12"/>
      <color theme="1"/>
      <name val="Times New Roman"/>
      <family val="1"/>
      <charset val="186"/>
    </font>
    <font>
      <sz val="12"/>
      <name val="Times New Roman"/>
      <family val="1"/>
      <charset val="186"/>
    </font>
    <font>
      <strike/>
      <sz val="12"/>
      <name val="Times New Roman"/>
      <family val="1"/>
      <charset val="186"/>
    </font>
    <font>
      <sz val="8"/>
      <name val="Times New Roman"/>
      <family val="1"/>
      <charset val="186"/>
    </font>
    <font>
      <i/>
      <sz val="11"/>
      <color theme="1"/>
      <name val="Calibri"/>
      <family val="2"/>
      <charset val="186"/>
      <scheme val="minor"/>
    </font>
    <font>
      <b/>
      <sz val="9"/>
      <color indexed="81"/>
      <name val="Tahoma"/>
      <family val="2"/>
      <charset val="186"/>
    </font>
    <font>
      <sz val="9"/>
      <color indexed="81"/>
      <name val="Tahoma"/>
      <family val="2"/>
      <charset val="186"/>
    </font>
    <font>
      <sz val="10"/>
      <color theme="1"/>
      <name val="Calibri"/>
      <family val="2"/>
      <charset val="186"/>
      <scheme val="minor"/>
    </font>
    <font>
      <b/>
      <sz val="10"/>
      <color rgb="FFFF0000"/>
      <name val="Calibri"/>
      <family val="2"/>
      <charset val="186"/>
      <scheme val="minor"/>
    </font>
    <font>
      <b/>
      <sz val="11"/>
      <color rgb="FF00B050"/>
      <name val="Calibri"/>
      <family val="2"/>
      <charset val="186"/>
      <scheme val="minor"/>
    </font>
    <font>
      <b/>
      <sz val="10"/>
      <color rgb="FF00B050"/>
      <name val="Calibri"/>
      <family val="2"/>
      <charset val="186"/>
      <scheme val="minor"/>
    </font>
    <font>
      <b/>
      <sz val="11"/>
      <color rgb="FFFF0000"/>
      <name val="Calibri"/>
      <family val="2"/>
      <charset val="186"/>
      <scheme val="minor"/>
    </font>
    <font>
      <sz val="14"/>
      <color theme="1"/>
      <name val="Times New Roman"/>
      <family val="1"/>
      <charset val="186"/>
    </font>
    <font>
      <sz val="12"/>
      <color rgb="FF000000"/>
      <name val="Times New Roman"/>
      <family val="1"/>
      <charset val="186"/>
    </font>
    <font>
      <sz val="12"/>
      <color rgb="FF7030A0"/>
      <name val="Times New Roman"/>
      <family val="1"/>
      <charset val="186"/>
    </font>
    <font>
      <sz val="11"/>
      <color rgb="FFFF0000"/>
      <name val="Calibri"/>
      <family val="2"/>
      <charset val="186"/>
      <scheme val="minor"/>
    </font>
    <font>
      <b/>
      <sz val="12"/>
      <color rgb="FF00B050"/>
      <name val="Times New Roman"/>
      <family val="1"/>
      <charset val="186"/>
    </font>
    <font>
      <b/>
      <sz val="12"/>
      <color rgb="FFFF0000"/>
      <name val="Times New Roman"/>
      <family val="1"/>
      <charset val="186"/>
    </font>
    <font>
      <sz val="11"/>
      <color rgb="FF00B050"/>
      <name val="Calibri"/>
      <family val="2"/>
      <charset val="186"/>
      <scheme val="minor"/>
    </font>
    <font>
      <sz val="10"/>
      <color theme="1"/>
      <name val="Times New Roman"/>
      <family val="1"/>
      <charset val="186"/>
    </font>
    <font>
      <b/>
      <sz val="11"/>
      <name val="Calibri"/>
      <family val="2"/>
      <charset val="186"/>
      <scheme val="minor"/>
    </font>
    <font>
      <b/>
      <sz val="11"/>
      <color theme="1"/>
      <name val="Times New Roman"/>
      <family val="1"/>
      <charset val="186"/>
    </font>
    <font>
      <b/>
      <sz val="10"/>
      <color rgb="FF00B050"/>
      <name val="Times New Roman"/>
      <family val="1"/>
      <charset val="186"/>
    </font>
    <font>
      <b/>
      <sz val="11"/>
      <color rgb="FF00B050"/>
      <name val="Times New Roman"/>
      <family val="1"/>
      <charset val="186"/>
    </font>
    <font>
      <b/>
      <sz val="10"/>
      <color rgb="FFFF0000"/>
      <name val="Times New Roman"/>
      <family val="1"/>
      <charset val="186"/>
    </font>
    <font>
      <b/>
      <sz val="11"/>
      <color rgb="FFFF0000"/>
      <name val="Times New Roman"/>
      <family val="1"/>
      <charset val="186"/>
    </font>
    <font>
      <b/>
      <sz val="12"/>
      <color rgb="FF00B050"/>
      <name val="Calibri"/>
      <family val="2"/>
      <charset val="186"/>
      <scheme val="minor"/>
    </font>
    <font>
      <b/>
      <sz val="10"/>
      <name val="Times New Roman"/>
      <family val="1"/>
      <charset val="186"/>
    </font>
    <font>
      <sz val="11"/>
      <name val="Times New Roman"/>
      <family val="1"/>
      <charset val="186"/>
    </font>
    <font>
      <strike/>
      <sz val="11"/>
      <name val="Times New Roman"/>
      <family val="1"/>
      <charset val="186"/>
    </font>
    <font>
      <strike/>
      <sz val="11"/>
      <color theme="1"/>
      <name val="Times New Roman"/>
      <family val="1"/>
      <charset val="186"/>
    </font>
    <font>
      <strike/>
      <sz val="10"/>
      <color theme="1"/>
      <name val="Times New Roman"/>
      <family val="1"/>
      <charset val="186"/>
    </font>
    <font>
      <sz val="10"/>
      <name val="Times New Roman"/>
      <family val="1"/>
      <charset val="186"/>
    </font>
    <font>
      <b/>
      <sz val="1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36">
    <xf numFmtId="0" fontId="0" fillId="0" borderId="0" xfId="0"/>
    <xf numFmtId="0" fontId="0" fillId="2" borderId="1" xfId="0" applyFill="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4" fontId="0" fillId="0" borderId="1" xfId="0" applyNumberFormat="1" applyBorder="1"/>
    <xf numFmtId="0" fontId="2" fillId="0" borderId="1" xfId="0" applyFont="1" applyBorder="1" applyAlignment="1">
      <alignment horizontal="center" vertical="center"/>
    </xf>
    <xf numFmtId="0" fontId="3" fillId="0" borderId="0" xfId="0" applyFont="1" applyAlignment="1">
      <alignment wrapText="1"/>
    </xf>
    <xf numFmtId="0" fontId="2" fillId="0" borderId="1" xfId="0" applyFont="1" applyBorder="1" applyAlignment="1">
      <alignment horizontal="right"/>
    </xf>
    <xf numFmtId="4" fontId="2" fillId="0" borderId="1" xfId="0" applyNumberFormat="1" applyFont="1" applyBorder="1"/>
    <xf numFmtId="0" fontId="3" fillId="0" borderId="0" xfId="0" applyFont="1"/>
    <xf numFmtId="0" fontId="3" fillId="0" borderId="0" xfId="0" applyFont="1" applyAlignment="1">
      <alignment horizontal="right"/>
    </xf>
    <xf numFmtId="0" fontId="7" fillId="0" borderId="0" xfId="0" applyFont="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3" fontId="3" fillId="0" borderId="1" xfId="0" applyNumberFormat="1" applyFont="1" applyFill="1" applyBorder="1" applyAlignment="1">
      <alignment vertical="center"/>
    </xf>
    <xf numFmtId="0" fontId="8" fillId="0" borderId="1" xfId="0" applyFont="1" applyBorder="1" applyAlignment="1">
      <alignment horizontal="center" vertical="center"/>
    </xf>
    <xf numFmtId="3" fontId="8"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left" vertical="center" wrapText="1"/>
    </xf>
    <xf numFmtId="0" fontId="8" fillId="3" borderId="1" xfId="0" applyFont="1" applyFill="1" applyBorder="1" applyAlignment="1">
      <alignment horizontal="center" vertical="center"/>
    </xf>
    <xf numFmtId="9" fontId="8" fillId="3" borderId="1" xfId="1" applyFont="1" applyFill="1" applyBorder="1" applyAlignment="1">
      <alignment vertical="center"/>
    </xf>
    <xf numFmtId="0" fontId="8" fillId="3" borderId="1" xfId="0" applyFont="1" applyFill="1" applyBorder="1" applyAlignment="1">
      <alignment horizontal="center" vertical="center" wrapText="1"/>
    </xf>
    <xf numFmtId="3" fontId="8" fillId="3" borderId="1" xfId="1" applyNumberFormat="1" applyFont="1" applyFill="1" applyBorder="1" applyAlignment="1">
      <alignment vertical="center"/>
    </xf>
    <xf numFmtId="0" fontId="8" fillId="0" borderId="1" xfId="0" applyFont="1" applyBorder="1" applyAlignment="1">
      <alignment horizontal="center" vertical="center" wrapText="1"/>
    </xf>
    <xf numFmtId="164" fontId="8" fillId="0" borderId="1" xfId="0" applyNumberFormat="1" applyFont="1" applyFill="1" applyBorder="1" applyAlignment="1">
      <alignment vertical="center"/>
    </xf>
    <xf numFmtId="164" fontId="8" fillId="0" borderId="1" xfId="0" applyNumberFormat="1" applyFont="1" applyFill="1" applyBorder="1" applyAlignment="1">
      <alignment horizontal="right" vertical="center"/>
    </xf>
    <xf numFmtId="2" fontId="8" fillId="0" borderId="1" xfId="0" applyNumberFormat="1" applyFont="1" applyFill="1" applyBorder="1" applyAlignment="1">
      <alignment vertical="center"/>
    </xf>
    <xf numFmtId="164" fontId="8"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right" vertical="center" wrapText="1"/>
    </xf>
    <xf numFmtId="0" fontId="8" fillId="0" borderId="1" xfId="0" applyFont="1" applyBorder="1" applyAlignment="1">
      <alignment horizontal="right"/>
    </xf>
    <xf numFmtId="0" fontId="8" fillId="0" borderId="1" xfId="0" applyFont="1" applyBorder="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11" fillId="0" borderId="0" xfId="0" applyFont="1"/>
    <xf numFmtId="3" fontId="3" fillId="0" borderId="1" xfId="0" applyNumberFormat="1" applyFont="1" applyBorder="1" applyAlignment="1">
      <alignment vertical="center"/>
    </xf>
    <xf numFmtId="3" fontId="8" fillId="0" borderId="1" xfId="0" applyNumberFormat="1" applyFont="1" applyBorder="1" applyAlignment="1">
      <alignment vertical="center"/>
    </xf>
    <xf numFmtId="164" fontId="8" fillId="0" borderId="1" xfId="0" applyNumberFormat="1" applyFont="1" applyBorder="1" applyAlignment="1">
      <alignment vertical="center"/>
    </xf>
    <xf numFmtId="164" fontId="8" fillId="0" borderId="1" xfId="0" applyNumberFormat="1" applyFont="1" applyBorder="1" applyAlignment="1">
      <alignment horizontal="center" vertical="center"/>
    </xf>
    <xf numFmtId="4" fontId="0" fillId="0" borderId="0" xfId="0" applyNumberFormat="1"/>
    <xf numFmtId="0" fontId="0" fillId="0" borderId="1" xfId="0" applyFill="1" applyBorder="1" applyAlignment="1">
      <alignment horizontal="center" vertical="center"/>
    </xf>
    <xf numFmtId="4" fontId="0" fillId="0" borderId="1" xfId="0" applyNumberFormat="1" applyFill="1" applyBorder="1"/>
    <xf numFmtId="0" fontId="0" fillId="0" borderId="0" xfId="0" applyAlignment="1"/>
    <xf numFmtId="0" fontId="0" fillId="0" borderId="0" xfId="0" applyAlignment="1">
      <alignment horizontal="righ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2" fontId="2" fillId="2" borderId="8" xfId="0" applyNumberFormat="1" applyFont="1" applyFill="1" applyBorder="1" applyAlignment="1">
      <alignment horizontal="center" vertical="center" wrapText="1"/>
    </xf>
    <xf numFmtId="4" fontId="0" fillId="0" borderId="5" xfId="0" applyNumberFormat="1" applyBorder="1"/>
    <xf numFmtId="165" fontId="0" fillId="0" borderId="1" xfId="2" applyNumberFormat="1" applyFont="1" applyFill="1" applyBorder="1" applyAlignment="1">
      <alignment horizontal="center" vertical="center"/>
    </xf>
    <xf numFmtId="0" fontId="14" fillId="0" borderId="9" xfId="0" applyFont="1" applyBorder="1" applyAlignment="1">
      <alignment horizontal="center" vertical="center" wrapText="1"/>
    </xf>
    <xf numFmtId="0" fontId="15" fillId="0" borderId="1" xfId="0" applyFont="1" applyBorder="1" applyAlignment="1">
      <alignment horizontal="center" vertical="center" wrapText="1"/>
    </xf>
    <xf numFmtId="3" fontId="0" fillId="0" borderId="1" xfId="0" applyNumberFormat="1" applyBorder="1" applyAlignment="1">
      <alignment wrapText="1"/>
    </xf>
    <xf numFmtId="4" fontId="16" fillId="0" borderId="10" xfId="0" applyNumberFormat="1" applyFont="1" applyBorder="1"/>
    <xf numFmtId="0" fontId="14" fillId="0" borderId="1" xfId="0" applyFont="1" applyBorder="1" applyAlignment="1">
      <alignment horizontal="center" vertical="center" wrapText="1"/>
    </xf>
    <xf numFmtId="4" fontId="0" fillId="0" borderId="10" xfId="0" applyNumberFormat="1" applyBorder="1"/>
    <xf numFmtId="0" fontId="17" fillId="0" borderId="1" xfId="0" applyFont="1" applyBorder="1" applyAlignment="1">
      <alignment horizontal="center" vertical="center" wrapText="1"/>
    </xf>
    <xf numFmtId="4" fontId="18" fillId="0" borderId="10" xfId="0" applyNumberFormat="1" applyFont="1" applyBorder="1"/>
    <xf numFmtId="165" fontId="2" fillId="0" borderId="1" xfId="0" applyNumberFormat="1" applyFont="1" applyBorder="1" applyAlignment="1">
      <alignment horizontal="center" vertical="center"/>
    </xf>
    <xf numFmtId="0" fontId="0" fillId="2" borderId="11" xfId="0" applyFill="1" applyBorder="1"/>
    <xf numFmtId="4" fontId="0" fillId="2" borderId="12" xfId="0" applyNumberFormat="1" applyFill="1" applyBorder="1"/>
    <xf numFmtId="0" fontId="0" fillId="2" borderId="12" xfId="0" applyFill="1" applyBorder="1"/>
    <xf numFmtId="4" fontId="2" fillId="2" borderId="12" xfId="0" applyNumberFormat="1" applyFont="1" applyFill="1" applyBorder="1"/>
    <xf numFmtId="4" fontId="2" fillId="2" borderId="13" xfId="0" applyNumberFormat="1" applyFont="1" applyFill="1" applyBorder="1"/>
    <xf numFmtId="4" fontId="16" fillId="4" borderId="14" xfId="0" applyNumberFormat="1" applyFont="1" applyFill="1" applyBorder="1"/>
    <xf numFmtId="0" fontId="6"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9" fillId="0" borderId="1" xfId="0" applyFont="1" applyBorder="1"/>
    <xf numFmtId="0" fontId="19" fillId="5" borderId="1" xfId="0" applyFont="1" applyFill="1" applyBorder="1" applyAlignment="1">
      <alignment vertical="top" wrapText="1"/>
    </xf>
    <xf numFmtId="0" fontId="19" fillId="5" borderId="1" xfId="0" applyFont="1" applyFill="1" applyBorder="1"/>
    <xf numFmtId="2" fontId="19" fillId="5" borderId="1" xfId="0" applyNumberFormat="1" applyFont="1" applyFill="1" applyBorder="1"/>
    <xf numFmtId="10" fontId="19" fillId="5" borderId="1" xfId="1" applyNumberFormat="1" applyFont="1" applyFill="1" applyBorder="1" applyAlignment="1"/>
    <xf numFmtId="2" fontId="19" fillId="0" borderId="1" xfId="0" applyNumberFormat="1" applyFont="1" applyBorder="1"/>
    <xf numFmtId="10" fontId="19" fillId="0" borderId="1" xfId="1" applyNumberFormat="1" applyFont="1" applyFill="1" applyBorder="1" applyAlignment="1"/>
    <xf numFmtId="0" fontId="19" fillId="0" borderId="1" xfId="0" applyFont="1" applyBorder="1" applyAlignment="1">
      <alignment vertical="top" wrapText="1"/>
    </xf>
    <xf numFmtId="0" fontId="19"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justify" vertical="center"/>
    </xf>
    <xf numFmtId="0" fontId="3" fillId="0" borderId="27" xfId="0" applyFont="1" applyBorder="1" applyAlignment="1">
      <alignment vertical="center" wrapText="1"/>
    </xf>
    <xf numFmtId="0" fontId="3" fillId="0" borderId="27" xfId="0" applyFont="1" applyBorder="1" applyAlignment="1">
      <alignment horizontal="center" vertical="center"/>
    </xf>
    <xf numFmtId="0" fontId="3" fillId="0" borderId="27" xfId="0" applyFont="1" applyBorder="1" applyAlignment="1">
      <alignment vertical="center"/>
    </xf>
    <xf numFmtId="0" fontId="20" fillId="0" borderId="27" xfId="0" applyFont="1" applyBorder="1" applyAlignment="1">
      <alignment horizontal="center" vertical="center"/>
    </xf>
    <xf numFmtId="0" fontId="21" fillId="0" borderId="26" xfId="0" applyFont="1" applyBorder="1" applyAlignment="1">
      <alignment vertical="center"/>
    </xf>
    <xf numFmtId="0" fontId="21" fillId="0" borderId="27" xfId="0" applyFont="1" applyBorder="1" applyAlignment="1">
      <alignment vertical="center"/>
    </xf>
    <xf numFmtId="0" fontId="21" fillId="0" borderId="27" xfId="0" applyFont="1" applyBorder="1" applyAlignment="1">
      <alignment horizontal="center" vertical="center"/>
    </xf>
    <xf numFmtId="0" fontId="21" fillId="0" borderId="26" xfId="0" applyFont="1" applyBorder="1" applyAlignment="1">
      <alignment horizontal="justify" vertical="center"/>
    </xf>
    <xf numFmtId="0" fontId="21" fillId="0" borderId="27" xfId="0" applyFont="1" applyBorder="1" applyAlignment="1">
      <alignment vertical="center" wrapText="1"/>
    </xf>
    <xf numFmtId="0" fontId="23" fillId="0" borderId="27" xfId="0" applyFont="1" applyBorder="1" applyAlignment="1">
      <alignment horizontal="center" vertical="center"/>
    </xf>
    <xf numFmtId="0" fontId="24" fillId="0" borderId="27" xfId="0" applyFont="1" applyBorder="1" applyAlignment="1">
      <alignment horizontal="center" vertical="center"/>
    </xf>
    <xf numFmtId="0" fontId="7" fillId="0" borderId="27" xfId="0" applyFont="1" applyBorder="1" applyAlignment="1">
      <alignment horizontal="center" vertical="center"/>
    </xf>
    <xf numFmtId="0" fontId="3" fillId="0" borderId="1" xfId="0" applyFont="1" applyBorder="1" applyAlignment="1">
      <alignment horizontal="center" vertical="center" wrapText="1"/>
    </xf>
    <xf numFmtId="0" fontId="26" fillId="0" borderId="0" xfId="0" applyFont="1" applyBorder="1" applyAlignment="1">
      <alignment vertical="center"/>
    </xf>
    <xf numFmtId="0" fontId="0" fillId="0" borderId="0" xfId="0" applyBorder="1" applyAlignment="1"/>
    <xf numFmtId="0" fontId="7" fillId="0" borderId="1" xfId="0" applyFont="1" applyBorder="1" applyAlignment="1">
      <alignment horizontal="center" vertical="center" wrapText="1"/>
    </xf>
    <xf numFmtId="0" fontId="7" fillId="0" borderId="4"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applyAlignment="1">
      <alignment horizontal="center"/>
    </xf>
    <xf numFmtId="0" fontId="7" fillId="0" borderId="4" xfId="0" applyFont="1" applyBorder="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3" fillId="0" borderId="1" xfId="0" applyFont="1" applyBorder="1"/>
    <xf numFmtId="10" fontId="3" fillId="0" borderId="1" xfId="0" applyNumberFormat="1" applyFont="1" applyBorder="1"/>
    <xf numFmtId="0" fontId="3" fillId="2" borderId="1" xfId="0" applyFont="1" applyFill="1" applyBorder="1"/>
    <xf numFmtId="10" fontId="3" fillId="2" borderId="1" xfId="0" applyNumberFormat="1" applyFont="1" applyFill="1" applyBorder="1"/>
    <xf numFmtId="9" fontId="3" fillId="0" borderId="1" xfId="0" applyNumberFormat="1" applyFont="1" applyBorder="1"/>
    <xf numFmtId="9" fontId="3" fillId="2" borderId="1" xfId="0" applyNumberFormat="1" applyFont="1" applyFill="1" applyBorder="1"/>
    <xf numFmtId="0" fontId="0" fillId="2" borderId="1" xfId="0" applyFill="1" applyBorder="1"/>
    <xf numFmtId="9" fontId="3" fillId="0" borderId="1" xfId="1" applyFont="1" applyFill="1" applyBorder="1"/>
    <xf numFmtId="9" fontId="3" fillId="2" borderId="1" xfId="1" applyFont="1" applyFill="1" applyBorder="1"/>
    <xf numFmtId="0" fontId="3" fillId="0" borderId="5" xfId="0" applyFont="1" applyBorder="1" applyAlignment="1">
      <alignment horizontal="center" vertical="center" wrapText="1"/>
    </xf>
    <xf numFmtId="0" fontId="7" fillId="0" borderId="0" xfId="0" applyFont="1" applyAlignment="1">
      <alignment vertical="center"/>
    </xf>
    <xf numFmtId="0" fontId="3" fillId="0" borderId="0" xfId="0" applyFont="1" applyFill="1" applyBorder="1" applyAlignment="1">
      <alignment horizontal="center" vertical="center" wrapText="1"/>
    </xf>
    <xf numFmtId="0" fontId="0" fillId="0" borderId="0" xfId="0" applyAlignment="1">
      <alignment horizontal="center"/>
    </xf>
    <xf numFmtId="0" fontId="11" fillId="0" borderId="0" xfId="0" applyFont="1" applyAlignment="1">
      <alignment horizontal="center"/>
    </xf>
    <xf numFmtId="0" fontId="0" fillId="0" borderId="0" xfId="0" applyFill="1"/>
    <xf numFmtId="0" fontId="5" fillId="0" borderId="0" xfId="0" applyFont="1" applyAlignment="1">
      <alignment horizontal="center"/>
    </xf>
    <xf numFmtId="0" fontId="5" fillId="0" borderId="0" xfId="0" applyFont="1"/>
    <xf numFmtId="0" fontId="4"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2" fontId="28" fillId="2" borderId="8" xfId="0" applyNumberFormat="1" applyFont="1" applyFill="1" applyBorder="1" applyAlignment="1">
      <alignment horizontal="center" vertical="center" wrapText="1"/>
    </xf>
    <xf numFmtId="165" fontId="5" fillId="0" borderId="1" xfId="2" applyNumberFormat="1" applyFont="1" applyFill="1" applyBorder="1" applyAlignment="1">
      <alignment horizontal="center" vertical="center"/>
    </xf>
    <xf numFmtId="0" fontId="26" fillId="0" borderId="9"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165" fontId="28"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6" fillId="0" borderId="9" xfId="0" applyFont="1" applyFill="1" applyBorder="1" applyAlignment="1">
      <alignment horizontal="center" vertical="center" wrapText="1"/>
    </xf>
    <xf numFmtId="0" fontId="26" fillId="0" borderId="0" xfId="0" applyFont="1"/>
    <xf numFmtId="0" fontId="3" fillId="0" borderId="0" xfId="0" applyFont="1" applyAlignment="1"/>
    <xf numFmtId="0" fontId="28" fillId="0" borderId="1" xfId="0" applyFont="1"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xf>
    <xf numFmtId="0" fontId="28" fillId="0" borderId="1" xfId="0" applyFont="1" applyBorder="1" applyAlignment="1">
      <alignment horizontal="center" vertical="center"/>
    </xf>
    <xf numFmtId="0" fontId="25" fillId="0" borderId="0" xfId="0" applyFont="1"/>
    <xf numFmtId="0" fontId="33" fillId="0" borderId="0" xfId="0" applyFont="1"/>
    <xf numFmtId="0" fontId="34" fillId="0" borderId="1" xfId="0" applyFont="1" applyBorder="1" applyAlignment="1">
      <alignment horizontal="center" vertical="center" wrapText="1"/>
    </xf>
    <xf numFmtId="0" fontId="35" fillId="0" borderId="1" xfId="0" applyFont="1" applyBorder="1" applyAlignment="1">
      <alignment horizontal="center" vertical="center"/>
    </xf>
    <xf numFmtId="2" fontId="33" fillId="0" borderId="0" xfId="0" applyNumberFormat="1" applyFont="1" applyAlignment="1">
      <alignment horizontal="center"/>
    </xf>
    <xf numFmtId="3" fontId="30" fillId="0" borderId="0" xfId="0" applyNumberFormat="1" applyFont="1" applyFill="1" applyBorder="1" applyAlignment="1">
      <alignment horizontal="right" vertical="center"/>
    </xf>
    <xf numFmtId="4" fontId="5" fillId="0" borderId="5" xfId="0" applyNumberFormat="1" applyFont="1" applyBorder="1" applyAlignment="1">
      <alignment horizontal="center"/>
    </xf>
    <xf numFmtId="4" fontId="5" fillId="0" borderId="5" xfId="0" applyNumberFormat="1" applyFont="1" applyFill="1" applyBorder="1" applyAlignment="1">
      <alignment horizontal="center"/>
    </xf>
    <xf numFmtId="3" fontId="5" fillId="0" borderId="1" xfId="0" applyNumberFormat="1" applyFont="1" applyBorder="1" applyAlignment="1">
      <alignment horizontal="center" wrapText="1"/>
    </xf>
    <xf numFmtId="4" fontId="5" fillId="0" borderId="1" xfId="0" applyNumberFormat="1" applyFont="1" applyBorder="1" applyAlignment="1">
      <alignment horizontal="center"/>
    </xf>
    <xf numFmtId="4" fontId="32" fillId="0" borderId="10" xfId="0" applyNumberFormat="1" applyFont="1" applyBorder="1" applyAlignment="1">
      <alignment horizontal="center"/>
    </xf>
    <xf numFmtId="4" fontId="30" fillId="0" borderId="10" xfId="0" applyNumberFormat="1" applyFont="1" applyBorder="1" applyAlignment="1">
      <alignment horizontal="center"/>
    </xf>
    <xf numFmtId="3" fontId="5" fillId="0" borderId="1" xfId="0" applyNumberFormat="1" applyFont="1" applyFill="1" applyBorder="1" applyAlignment="1">
      <alignment horizontal="center" wrapText="1"/>
    </xf>
    <xf numFmtId="4" fontId="5" fillId="0" borderId="1" xfId="0" applyNumberFormat="1" applyFont="1" applyFill="1" applyBorder="1" applyAlignment="1">
      <alignment horizontal="center"/>
    </xf>
    <xf numFmtId="4" fontId="32" fillId="0" borderId="10" xfId="0" applyNumberFormat="1" applyFont="1" applyFill="1" applyBorder="1" applyAlignment="1">
      <alignment horizontal="center"/>
    </xf>
    <xf numFmtId="0" fontId="0" fillId="0" borderId="0" xfId="0" applyFill="1" applyAlignment="1">
      <alignment horizontal="center"/>
    </xf>
    <xf numFmtId="0" fontId="5" fillId="2" borderId="12" xfId="0" applyFont="1" applyFill="1" applyBorder="1" applyAlignment="1">
      <alignment horizontal="center"/>
    </xf>
    <xf numFmtId="4" fontId="28" fillId="2" borderId="12" xfId="0" applyNumberFormat="1" applyFont="1" applyFill="1" applyBorder="1" applyAlignment="1">
      <alignment horizontal="center"/>
    </xf>
    <xf numFmtId="4" fontId="28" fillId="2" borderId="13" xfId="0" applyNumberFormat="1" applyFont="1" applyFill="1" applyBorder="1" applyAlignment="1">
      <alignment horizontal="center"/>
    </xf>
    <xf numFmtId="4" fontId="30" fillId="4" borderId="14" xfId="0" applyNumberFormat="1" applyFont="1" applyFill="1" applyBorder="1" applyAlignment="1">
      <alignment horizontal="center"/>
    </xf>
    <xf numFmtId="0" fontId="5" fillId="2" borderId="11" xfId="0" applyFont="1" applyFill="1" applyBorder="1" applyAlignment="1">
      <alignment horizontal="center"/>
    </xf>
    <xf numFmtId="4" fontId="5" fillId="2" borderId="12" xfId="0" applyNumberFormat="1" applyFont="1" applyFill="1" applyBorder="1" applyAlignment="1">
      <alignment horizontal="center"/>
    </xf>
    <xf numFmtId="0" fontId="2" fillId="0" borderId="0" xfId="0" applyFont="1" applyAlignment="1">
      <alignment horizontal="center"/>
    </xf>
    <xf numFmtId="0" fontId="36" fillId="0" borderId="1" xfId="0" applyFont="1" applyBorder="1" applyAlignment="1">
      <alignment horizontal="center" vertical="center"/>
    </xf>
    <xf numFmtId="0" fontId="37" fillId="0" borderId="1" xfId="0" applyFont="1" applyFill="1" applyBorder="1" applyAlignment="1">
      <alignment horizontal="center" vertical="center"/>
    </xf>
    <xf numFmtId="4" fontId="37" fillId="0" borderId="5" xfId="0" applyNumberFormat="1" applyFont="1" applyBorder="1" applyAlignment="1">
      <alignment horizontal="center"/>
    </xf>
    <xf numFmtId="165" fontId="37" fillId="0" borderId="1" xfId="2" applyNumberFormat="1" applyFont="1" applyFill="1" applyBorder="1" applyAlignment="1">
      <alignment horizontal="center" vertical="center"/>
    </xf>
    <xf numFmtId="0" fontId="38" fillId="0" borderId="9" xfId="0" applyFont="1" applyBorder="1" applyAlignment="1">
      <alignment horizontal="center" vertical="center" wrapText="1"/>
    </xf>
    <xf numFmtId="3" fontId="37" fillId="0" borderId="1" xfId="0" applyNumberFormat="1" applyFont="1" applyBorder="1" applyAlignment="1">
      <alignment horizontal="center" wrapText="1"/>
    </xf>
    <xf numFmtId="4" fontId="37" fillId="0" borderId="1" xfId="0" applyNumberFormat="1" applyFont="1" applyBorder="1" applyAlignment="1">
      <alignment horizontal="center"/>
    </xf>
    <xf numFmtId="0" fontId="35" fillId="0" borderId="1" xfId="0" applyFont="1" applyFill="1" applyBorder="1" applyAlignment="1">
      <alignment horizontal="center" vertical="center"/>
    </xf>
    <xf numFmtId="4" fontId="35" fillId="0" borderId="5" xfId="0" applyNumberFormat="1" applyFont="1" applyBorder="1" applyAlignment="1">
      <alignment horizontal="center"/>
    </xf>
    <xf numFmtId="165" fontId="35" fillId="0" borderId="1" xfId="2" applyNumberFormat="1" applyFont="1" applyFill="1" applyBorder="1" applyAlignment="1">
      <alignment horizontal="center" vertical="center"/>
    </xf>
    <xf numFmtId="0" fontId="39" fillId="0" borderId="9" xfId="0" applyFont="1" applyBorder="1" applyAlignment="1">
      <alignment horizontal="center" vertical="center" wrapText="1"/>
    </xf>
    <xf numFmtId="3" fontId="35" fillId="0" borderId="1" xfId="0" applyNumberFormat="1" applyFont="1" applyBorder="1" applyAlignment="1">
      <alignment horizontal="center" wrapText="1"/>
    </xf>
    <xf numFmtId="4" fontId="35" fillId="0" borderId="1" xfId="0" applyNumberFormat="1" applyFont="1" applyBorder="1" applyAlignment="1">
      <alignment horizontal="center"/>
    </xf>
    <xf numFmtId="4" fontId="40" fillId="0" borderId="10" xfId="0" applyNumberFormat="1" applyFont="1" applyBorder="1" applyAlignment="1">
      <alignment horizontal="center"/>
    </xf>
    <xf numFmtId="0" fontId="0" fillId="0" borderId="4" xfId="0" applyBorder="1" applyAlignment="1"/>
    <xf numFmtId="0" fontId="2" fillId="0" borderId="1" xfId="0" applyFont="1" applyBorder="1" applyAlignment="1"/>
    <xf numFmtId="0" fontId="2" fillId="0" borderId="1" xfId="0" applyFont="1"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6" fillId="0" borderId="0"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Border="1" applyAlignment="1">
      <alignment horizontal="center"/>
    </xf>
    <xf numFmtId="0" fontId="3" fillId="0" borderId="0" xfId="0" applyFont="1" applyBorder="1" applyAlignment="1">
      <alignment horizontal="center"/>
    </xf>
    <xf numFmtId="0" fontId="26" fillId="0" borderId="0" xfId="0" applyFont="1" applyBorder="1" applyAlignment="1">
      <alignment horizontal="center" vertical="center" wrapText="1"/>
    </xf>
    <xf numFmtId="0" fontId="6" fillId="0" borderId="4" xfId="0" applyFont="1" applyBorder="1" applyAlignment="1">
      <alignment horizont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9" fillId="0" borderId="3"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3" fillId="0" borderId="17" xfId="0" applyFont="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xf>
    <xf numFmtId="0" fontId="7" fillId="0" borderId="0" xfId="0" applyFont="1" applyAlignment="1">
      <alignment horizontal="center"/>
    </xf>
    <xf numFmtId="0" fontId="28" fillId="0" borderId="0" xfId="0" applyFont="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0" xfId="0" applyFont="1" applyBorder="1" applyAlignment="1">
      <alignment horizontal="center" vertical="center" wrapText="1"/>
    </xf>
  </cellXfs>
  <cellStyles count="3">
    <cellStyle name="Įprastas" xfId="0" builtinId="0"/>
    <cellStyle name="Kablelis" xfId="2" builtinId="3"/>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lt-LT"/>
              <a:t>Augalininkystės produkcijos rūšis, kurios daugiausiai sunaudoja gazolio</a:t>
            </a:r>
            <a:r>
              <a:rPr lang="en-US"/>
              <a:t>, proc.</a:t>
            </a:r>
            <a:endParaRPr lang="lt-LT"/>
          </a:p>
        </c:rich>
      </c:tx>
      <c:overlay val="0"/>
      <c:spPr>
        <a:noFill/>
        <a:ln>
          <a:noFill/>
        </a:ln>
        <a:effectLst/>
      </c:spPr>
    </c:title>
    <c:autoTitleDeleted val="0"/>
    <c:plotArea>
      <c:layout/>
      <c:pieChart>
        <c:varyColors val="1"/>
        <c:ser>
          <c:idx val="0"/>
          <c:order val="0"/>
          <c:tx>
            <c:strRef>
              <c:f>'Analizė Finansų sk.'!$C$6:$C$18</c:f>
              <c:strCache>
                <c:ptCount val="13"/>
                <c:pt idx="0">
                  <c:v>Grūdiniai, ankštiniai ir kiti augalai, už kuriuos mokamos tiesioginės išmokos</c:v>
                </c:pt>
                <c:pt idx="1">
                  <c:v>Rapsai</c:v>
                </c:pt>
                <c:pt idx="2">
                  <c:v>Bulvės</c:v>
                </c:pt>
                <c:pt idx="3">
                  <c:v>Daržovės (morkos)</c:v>
                </c:pt>
                <c:pt idx="4">
                  <c:v>Cukriniai runkeliai, pašariniai šakniavaisiai</c:v>
                </c:pt>
                <c:pt idx="5">
                  <c:v>Versliniai (intensyviai prižiūrimi) sodai</c:v>
                </c:pt>
                <c:pt idx="6">
                  <c:v>Versliniai (intensyviai prižiūrimi) uogynai</c:v>
                </c:pt>
                <c:pt idx="7">
                  <c:v>Linai, pluoštinės kanapės</c:v>
                </c:pt>
                <c:pt idx="8">
                  <c:v>Pievos, išskyrus pievas, skirtas prekinių žolinių pašarų produkcijos gamybai, ir ganyklos</c:v>
                </c:pt>
                <c:pt idx="9">
                  <c:v>Pūdymai ir trumpos rotacijos želdiniai</c:v>
                </c:pt>
                <c:pt idx="10">
                  <c:v>Pievos, skirtos prekinių žolinių pašarų produkcijos gamybai</c:v>
                </c:pt>
                <c:pt idx="11">
                  <c:v>Grybai (substrato gaminimas ir grybų auginimas)</c:v>
                </c:pt>
                <c:pt idx="12">
                  <c:v>Grybai (grybų auginimas)</c:v>
                </c:pt>
              </c:strCache>
            </c:strRef>
          </c:tx>
          <c:dLbls>
            <c:spPr>
              <a:noFill/>
              <a:ln>
                <a:noFill/>
              </a:ln>
              <a:effectLst/>
            </c:spPr>
            <c:txPr>
              <a:bodyPr wrap="square" lIns="38100" tIns="19050" rIns="38100" bIns="19050" anchor="ctr">
                <a:spAutoFit/>
              </a:bodyPr>
              <a:lstStyle/>
              <a:p>
                <a:pPr>
                  <a:defRPr sz="1400"/>
                </a:pPr>
                <a:endParaRPr lang="lt-L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'[1]Fin Sk. 1'!$O$5:$O$17</c:f>
              <c:strCache>
                <c:ptCount val="13"/>
                <c:pt idx="0">
                  <c:v>Grūdiniai, ankštiniai ir kiti augalai, už kuriuos mokamos tiesioginės išmokos</c:v>
                </c:pt>
                <c:pt idx="1">
                  <c:v>Rapsai</c:v>
                </c:pt>
                <c:pt idx="2">
                  <c:v>Bulvės</c:v>
                </c:pt>
                <c:pt idx="3">
                  <c:v>Daržovės (morkos)</c:v>
                </c:pt>
                <c:pt idx="4">
                  <c:v>Cukriniai runkeliai, pašariniai šakniavaisiai</c:v>
                </c:pt>
                <c:pt idx="5">
                  <c:v>Versliniai (intensyviai prižiūrimi) sodai</c:v>
                </c:pt>
                <c:pt idx="6">
                  <c:v>Versliniai (intensyviai prižiūrimi) uogynai</c:v>
                </c:pt>
                <c:pt idx="7">
                  <c:v>Linai, pluoštinės kanapės</c:v>
                </c:pt>
                <c:pt idx="8">
                  <c:v>Pievos, išskyrus pievas, skirtas prekinių žolinių pašarų produkcijos gamybai, ir ganyklos</c:v>
                </c:pt>
                <c:pt idx="9">
                  <c:v>Pūdymai ir trumpos rotacijos želdiniai</c:v>
                </c:pt>
                <c:pt idx="10">
                  <c:v>Pievos, skirtos prekinių žolinių pašarų produkcijos gamybai</c:v>
                </c:pt>
                <c:pt idx="11">
                  <c:v>Grybai (substrato gaminimas ir grybų auginimas)</c:v>
                </c:pt>
                <c:pt idx="12">
                  <c:v>Grybai (grybų auginimas)</c:v>
                </c:pt>
              </c:strCache>
            </c:strRef>
          </c:cat>
          <c:val>
            <c:numRef>
              <c:f>'Analizė Finansų sk.'!$L$6:$L$18</c:f>
              <c:numCache>
                <c:formatCode>0.00%</c:formatCode>
                <c:ptCount val="13"/>
                <c:pt idx="0">
                  <c:v>0.75966576485886905</c:v>
                </c:pt>
                <c:pt idx="1">
                  <c:v>0.12260378734619375</c:v>
                </c:pt>
                <c:pt idx="2">
                  <c:v>1.0738587786823496E-2</c:v>
                </c:pt>
                <c:pt idx="3">
                  <c:v>5.1728333261960215E-3</c:v>
                </c:pt>
                <c:pt idx="4">
                  <c:v>9.433957121953964E-3</c:v>
                </c:pt>
                <c:pt idx="5">
                  <c:v>5.2543072883697653E-3</c:v>
                </c:pt>
                <c:pt idx="6">
                  <c:v>6.6279333972595169E-3</c:v>
                </c:pt>
                <c:pt idx="7">
                  <c:v>4.7035041386360712E-3</c:v>
                </c:pt>
                <c:pt idx="8">
                  <c:v>4.7039790057895638E-2</c:v>
                </c:pt>
                <c:pt idx="9">
                  <c:v>2.7015832610536559E-2</c:v>
                </c:pt>
                <c:pt idx="10">
                  <c:v>1.7432810366724469E-3</c:v>
                </c:pt>
                <c:pt idx="11">
                  <c:v>2.9800713535549548E-7</c:v>
                </c:pt>
                <c:pt idx="12">
                  <c:v>1.2302345844162765E-7</c:v>
                </c:pt>
              </c:numCache>
            </c:numRef>
          </c:val>
          <c:extLst>
            <c:ext xmlns:c16="http://schemas.microsoft.com/office/drawing/2014/chart" uri="{C3380CC4-5D6E-409C-BE32-E72D297353CC}">
              <c16:uniqueId val="{0000001A-301F-4762-926D-4F4713EFB46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100" b="1" i="0" u="none" strike="noStrike" kern="1200" baseline="0">
              <a:solidFill>
                <a:schemeClr val="tx1"/>
              </a:solidFill>
              <a:latin typeface="+mn-lt"/>
              <a:ea typeface="+mn-ea"/>
              <a:cs typeface="+mn-cs"/>
            </a:defRPr>
          </a:pPr>
          <a:endParaRPr lang="lt-LT"/>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lt-LT"/>
              <a:t>Gyvulininkystės produkcijos rūšis, kurios daugiausiai sunaudoja gazolio</a:t>
            </a:r>
            <a:r>
              <a:rPr lang="en-US"/>
              <a:t>, proc.</a:t>
            </a:r>
          </a:p>
        </c:rich>
      </c:tx>
      <c:overlay val="0"/>
      <c:spPr>
        <a:noFill/>
        <a:ln>
          <a:noFill/>
        </a:ln>
        <a:effectLst/>
      </c:spPr>
    </c:title>
    <c:autoTitleDeleted val="0"/>
    <c:plotArea>
      <c:layout>
        <c:manualLayout>
          <c:layoutTarget val="inner"/>
          <c:xMode val="edge"/>
          <c:yMode val="edge"/>
          <c:x val="0.12749166523728311"/>
          <c:y val="0.16903979281590828"/>
          <c:w val="0.6013809836455728"/>
          <c:h val="0.71065200311649501"/>
        </c:manualLayout>
      </c:layout>
      <c:pieChart>
        <c:varyColors val="1"/>
        <c:ser>
          <c:idx val="0"/>
          <c:order val="0"/>
          <c:tx>
            <c:strRef>
              <c:f>'Analizė Finansų sk.'!$C$21:$C$29</c:f>
              <c:strCache>
                <c:ptCount val="9"/>
                <c:pt idx="0">
                  <c:v>Arkliai</c:v>
                </c:pt>
                <c:pt idx="1">
                  <c:v>Avys, ožkos, broileriai</c:v>
                </c:pt>
                <c:pt idx="2">
                  <c:v>Galvijai</c:v>
                </c:pt>
                <c:pt idx="3">
                  <c:v>Kiaulės</c:v>
                </c:pt>
                <c:pt idx="4">
                  <c:v>Paukščiai, išskyrus broilerius</c:v>
                </c:pt>
                <c:pt idx="5">
                  <c:v>Kiti gyvūnai</c:v>
                </c:pt>
                <c:pt idx="6">
                  <c:v>Bitės, kai laikoma daugiau kaip 40 bičių šeimų</c:v>
                </c:pt>
                <c:pt idx="7">
                  <c:v>Sraigės</c:v>
                </c:pt>
                <c:pt idx="8">
                  <c:v>Sliekai</c:v>
                </c:pt>
              </c:strCache>
            </c:strRef>
          </c:tx>
          <c:dLbls>
            <c:dLbl>
              <c:idx val="0"/>
              <c:layout>
                <c:manualLayout>
                  <c:x val="2.0364730023220406E-2"/>
                  <c:y val="-2.11210508071948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5C-4FFE-9FA1-A6FA6F19A617}"/>
                </c:ext>
              </c:extLst>
            </c:dLbl>
            <c:dLbl>
              <c:idx val="1"/>
              <c:layout>
                <c:manualLayout>
                  <c:x val="3.7648522235093608E-2"/>
                  <c:y val="6.53199286870029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5C-4FFE-9FA1-A6FA6F19A617}"/>
                </c:ext>
              </c:extLst>
            </c:dLbl>
            <c:dLbl>
              <c:idx val="3"/>
              <c:layout>
                <c:manualLayout>
                  <c:x val="-4.3835560130436609E-2"/>
                  <c:y val="2.4393113671207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5C-4FFE-9FA1-A6FA6F19A617}"/>
                </c:ext>
              </c:extLst>
            </c:dLbl>
            <c:dLbl>
              <c:idx val="4"/>
              <c:layout>
                <c:manualLayout>
                  <c:x val="-8.5596385237851666E-2"/>
                  <c:y val="-4.48012884532283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5C-4FFE-9FA1-A6FA6F19A617}"/>
                </c:ext>
              </c:extLst>
            </c:dLbl>
            <c:dLbl>
              <c:idx val="5"/>
              <c:layout>
                <c:manualLayout>
                  <c:x val="-0.1166060051012186"/>
                  <c:y val="-4.6641956076509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5C-4FFE-9FA1-A6FA6F19A617}"/>
                </c:ext>
              </c:extLst>
            </c:dLbl>
            <c:dLbl>
              <c:idx val="6"/>
              <c:layout>
                <c:manualLayout>
                  <c:x val="-4.6319614260439554E-2"/>
                  <c:y val="-2.5013441374094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5C-4FFE-9FA1-A6FA6F19A617}"/>
                </c:ext>
              </c:extLst>
            </c:dLbl>
            <c:dLbl>
              <c:idx val="7"/>
              <c:layout>
                <c:manualLayout>
                  <c:x val="-2.7862703115723211E-2"/>
                  <c:y val="-6.0842480357112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5C-4FFE-9FA1-A6FA6F19A617}"/>
                </c:ext>
              </c:extLst>
            </c:dLbl>
            <c:dLbl>
              <c:idx val="8"/>
              <c:layout>
                <c:manualLayout>
                  <c:x val="2.8395816762568218E-2"/>
                  <c:y val="-3.8893996759962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5C-4FFE-9FA1-A6FA6F19A617}"/>
                </c:ext>
              </c:extLst>
            </c:dLbl>
            <c:spPr>
              <a:noFill/>
              <a:ln>
                <a:noFill/>
              </a:ln>
              <a:effectLst/>
            </c:spPr>
            <c:txPr>
              <a:bodyPr wrap="square" lIns="38100" tIns="19050" rIns="38100" bIns="19050" anchor="ctr">
                <a:spAutoFit/>
              </a:bodyPr>
              <a:lstStyle/>
              <a:p>
                <a:pPr>
                  <a:defRPr sz="1400"/>
                </a:pPr>
                <a:endParaRPr lang="lt-L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'[1]Fin Sk. 1'!$O$20:$O$28</c:f>
              <c:strCache>
                <c:ptCount val="9"/>
                <c:pt idx="0">
                  <c:v>Arkliai</c:v>
                </c:pt>
                <c:pt idx="1">
                  <c:v>Avys, ožkos, broileriai</c:v>
                </c:pt>
                <c:pt idx="2">
                  <c:v>Galvijai</c:v>
                </c:pt>
                <c:pt idx="3">
                  <c:v>Kiaulės</c:v>
                </c:pt>
                <c:pt idx="4">
                  <c:v>Paukščiai, išskyrus broilerius</c:v>
                </c:pt>
                <c:pt idx="5">
                  <c:v>Kiti gyvūnai</c:v>
                </c:pt>
                <c:pt idx="6">
                  <c:v>Bitės, kai laikoma daugiau kaip 40 bičių šeimų</c:v>
                </c:pt>
                <c:pt idx="7">
                  <c:v>Sraigės</c:v>
                </c:pt>
                <c:pt idx="8">
                  <c:v>Sliekai</c:v>
                </c:pt>
              </c:strCache>
            </c:strRef>
          </c:cat>
          <c:val>
            <c:numRef>
              <c:f>'Analizė Finansų sk.'!$L$21:$L$29</c:f>
              <c:numCache>
                <c:formatCode>0.00%</c:formatCode>
                <c:ptCount val="9"/>
                <c:pt idx="0">
                  <c:v>1.474055039740239E-2</c:v>
                </c:pt>
                <c:pt idx="1">
                  <c:v>2.1567632856604634E-2</c:v>
                </c:pt>
                <c:pt idx="2">
                  <c:v>0.92624319771716956</c:v>
                </c:pt>
                <c:pt idx="3">
                  <c:v>2.1198535105901452E-2</c:v>
                </c:pt>
                <c:pt idx="4">
                  <c:v>9.4015193577184006E-3</c:v>
                </c:pt>
                <c:pt idx="5">
                  <c:v>5.1453510340681748E-3</c:v>
                </c:pt>
                <c:pt idx="6">
                  <c:v>1.7032135311354512E-3</c:v>
                </c:pt>
                <c:pt idx="7">
                  <c:v>0</c:v>
                </c:pt>
                <c:pt idx="8">
                  <c:v>0</c:v>
                </c:pt>
              </c:numCache>
            </c:numRef>
          </c:val>
          <c:extLst>
            <c:ext xmlns:c16="http://schemas.microsoft.com/office/drawing/2014/chart" uri="{C3380CC4-5D6E-409C-BE32-E72D297353CC}">
              <c16:uniqueId val="{00000012-9C5C-4FFE-9FA1-A6FA6F19A61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200" b="1" i="0" u="none" strike="noStrike" kern="1200" baseline="0">
              <a:solidFill>
                <a:schemeClr val="tx1"/>
              </a:solidFill>
              <a:latin typeface="+mn-lt"/>
              <a:ea typeface="+mn-ea"/>
              <a:cs typeface="+mn-cs"/>
            </a:defRPr>
          </a:pPr>
          <a:endParaRPr lang="lt-LT"/>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511175</xdr:colOff>
      <xdr:row>30</xdr:row>
      <xdr:rowOff>85725</xdr:rowOff>
    </xdr:from>
    <xdr:to>
      <xdr:col>12</xdr:col>
      <xdr:colOff>153989</xdr:colOff>
      <xdr:row>69</xdr:row>
      <xdr:rowOff>1589</xdr:rowOff>
    </xdr:to>
    <xdr:graphicFrame macro="">
      <xdr:nvGraphicFramePr>
        <xdr:cNvPr id="2" name="Diagrama 1">
          <a:extLst>
            <a:ext uri="{FF2B5EF4-FFF2-40B4-BE49-F238E27FC236}">
              <a16:creationId xmlns:a16="http://schemas.microsoft.com/office/drawing/2014/main" id="{FF14F940-1628-4D07-B020-3237E268F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546100</xdr:colOff>
      <xdr:row>68</xdr:row>
      <xdr:rowOff>104775</xdr:rowOff>
    </xdr:from>
    <xdr:to>
      <xdr:col>12</xdr:col>
      <xdr:colOff>188914</xdr:colOff>
      <xdr:row>107</xdr:row>
      <xdr:rowOff>11114</xdr:rowOff>
    </xdr:to>
    <xdr:graphicFrame macro="">
      <xdr:nvGraphicFramePr>
        <xdr:cNvPr id="3" name="Diagrama 2">
          <a:extLst>
            <a:ext uri="{FF2B5EF4-FFF2-40B4-BE49-F238E27FC236}">
              <a16:creationId xmlns:a16="http://schemas.microsoft.com/office/drawing/2014/main" id="{133F0D03-769D-4E5E-B201-2C8C7CFD0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as.vaistaras/Desktop/Gazoliai%20i&#353;%20BS/19-08-29%20Gazoliai-ZUIKVC(2019-08-14)%20Finans&#371;%20skyri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ŽŪIKVC duomenys"/>
      <sheetName val="Fin Sk. 1"/>
      <sheetName val="Augalai"/>
      <sheetName val="Augalai (2)"/>
      <sheetName val="Gyvuliai"/>
      <sheetName val="Gyvuliai (2)"/>
      <sheetName val="Bendri kiekiai"/>
      <sheetName val="Pagal ha"/>
      <sheetName val="Mažinimas visiems"/>
      <sheetName val="Fin Sk. 2"/>
      <sheetName val="Donatos Vilutienė"/>
    </sheetNames>
    <sheetDataSet>
      <sheetData sheetId="0" refreshError="1"/>
      <sheetData sheetId="1">
        <row r="4">
          <cell r="O4" t="str">
            <v>Augalininkystės produkcijos rūšis, kurios daugiausiai sunaudoja gazolio</v>
          </cell>
        </row>
        <row r="5">
          <cell r="O5" t="str">
            <v>Grūdiniai, ankštiniai ir kiti augalai, už kuriuos mokamos tiesioginės išmokos</v>
          </cell>
        </row>
        <row r="6">
          <cell r="O6" t="str">
            <v>Rapsai</v>
          </cell>
        </row>
        <row r="7">
          <cell r="O7" t="str">
            <v>Bulvės</v>
          </cell>
        </row>
        <row r="8">
          <cell r="O8" t="str">
            <v>Daržovės (morkos)</v>
          </cell>
        </row>
        <row r="9">
          <cell r="O9" t="str">
            <v>Cukriniai runkeliai, pašariniai šakniavaisiai</v>
          </cell>
        </row>
        <row r="10">
          <cell r="O10" t="str">
            <v>Versliniai (intensyviai prižiūrimi) sodai</v>
          </cell>
        </row>
        <row r="11">
          <cell r="O11" t="str">
            <v>Versliniai (intensyviai prižiūrimi) uogynai</v>
          </cell>
        </row>
        <row r="12">
          <cell r="O12" t="str">
            <v>Linai, pluoštinės kanapės</v>
          </cell>
        </row>
        <row r="13">
          <cell r="O13" t="str">
            <v>Pievos, išskyrus pievas, skirtas prekinių žolinių pašarų produkcijos gamybai, ir ganyklos</v>
          </cell>
        </row>
        <row r="14">
          <cell r="O14" t="str">
            <v>Pūdymai ir trumpos rotacijos želdiniai</v>
          </cell>
        </row>
        <row r="15">
          <cell r="O15" t="str">
            <v>Pievos, skirtos prekinių žolinių pašarų produkcijos gamybai</v>
          </cell>
        </row>
        <row r="16">
          <cell r="O16" t="str">
            <v>Grybai (substrato gaminimas ir grybų auginimas)</v>
          </cell>
        </row>
        <row r="17">
          <cell r="O17" t="str">
            <v>Grybai (grybų auginimas)</v>
          </cell>
        </row>
        <row r="20">
          <cell r="O20" t="str">
            <v>Arkliai</v>
          </cell>
        </row>
        <row r="21">
          <cell r="O21" t="str">
            <v>Avys, ožkos, broileriai</v>
          </cell>
        </row>
        <row r="22">
          <cell r="O22" t="str">
            <v>Galvijai</v>
          </cell>
        </row>
        <row r="23">
          <cell r="O23" t="str">
            <v>Kiaulės</v>
          </cell>
        </row>
        <row r="24">
          <cell r="O24" t="str">
            <v>Paukščiai, išskyrus broilerius</v>
          </cell>
        </row>
        <row r="25">
          <cell r="O25" t="str">
            <v>Kiti gyvūnai</v>
          </cell>
        </row>
        <row r="26">
          <cell r="O26" t="str">
            <v>Bitės, kai laikoma daugiau kaip 40 bičių šeimų</v>
          </cell>
        </row>
        <row r="27">
          <cell r="O27" t="str">
            <v>Sraigės</v>
          </cell>
        </row>
        <row r="28">
          <cell r="O28" t="str">
            <v>Sliekai</v>
          </cell>
        </row>
      </sheetData>
      <sheetData sheetId="2">
        <row r="7">
          <cell r="H7">
            <v>334130.25</v>
          </cell>
          <cell r="J7">
            <v>38424978.75</v>
          </cell>
        </row>
        <row r="8">
          <cell r="H8">
            <v>391784.28</v>
          </cell>
          <cell r="J8">
            <v>45055192.200000003</v>
          </cell>
        </row>
        <row r="9">
          <cell r="H9">
            <v>445218.93</v>
          </cell>
          <cell r="J9">
            <v>51200176.949999996</v>
          </cell>
        </row>
        <row r="14">
          <cell r="H14">
            <v>59422.28</v>
          </cell>
          <cell r="J14">
            <v>6833562.2000000002</v>
          </cell>
        </row>
        <row r="15">
          <cell r="H15">
            <v>76806.03</v>
          </cell>
          <cell r="J15">
            <v>8832693.4499999993</v>
          </cell>
        </row>
        <row r="16">
          <cell r="H16">
            <v>94651.62</v>
          </cell>
          <cell r="J16">
            <v>10884936.299999999</v>
          </cell>
        </row>
        <row r="21">
          <cell r="H21">
            <v>7455.3</v>
          </cell>
          <cell r="J21">
            <v>1789272</v>
          </cell>
        </row>
        <row r="22">
          <cell r="H22">
            <v>7824.93</v>
          </cell>
          <cell r="J22">
            <v>1877983.2000000002</v>
          </cell>
        </row>
        <row r="23">
          <cell r="H23">
            <v>8191.55</v>
          </cell>
          <cell r="J23">
            <v>1965972</v>
          </cell>
        </row>
        <row r="28">
          <cell r="H28">
            <v>2388.0300000000002</v>
          </cell>
          <cell r="J28">
            <v>573127.20000000007</v>
          </cell>
        </row>
        <row r="29">
          <cell r="H29">
            <v>2497.4899999999998</v>
          </cell>
          <cell r="J29">
            <v>599397.6</v>
          </cell>
        </row>
        <row r="30">
          <cell r="H30">
            <v>2714.48</v>
          </cell>
          <cell r="J30">
            <v>651475.19999999995</v>
          </cell>
        </row>
        <row r="35">
          <cell r="H35">
            <v>2458.67</v>
          </cell>
          <cell r="J35">
            <v>368800.5</v>
          </cell>
        </row>
        <row r="36">
          <cell r="H36">
            <v>3257.52</v>
          </cell>
          <cell r="J36">
            <v>488628</v>
          </cell>
        </row>
        <row r="37">
          <cell r="H37">
            <v>4293.7299999999996</v>
          </cell>
          <cell r="J37">
            <v>644059.49999999988</v>
          </cell>
        </row>
        <row r="42">
          <cell r="H42">
            <v>2791.29</v>
          </cell>
          <cell r="J42">
            <v>697822.5</v>
          </cell>
        </row>
        <row r="43">
          <cell r="H43">
            <v>3028.84</v>
          </cell>
          <cell r="J43">
            <v>757210</v>
          </cell>
        </row>
        <row r="44">
          <cell r="H44">
            <v>3168.98</v>
          </cell>
          <cell r="J44">
            <v>792245</v>
          </cell>
        </row>
        <row r="49">
          <cell r="H49">
            <v>7024.14</v>
          </cell>
          <cell r="J49">
            <v>1053621</v>
          </cell>
        </row>
        <row r="50">
          <cell r="H50">
            <v>7711.87</v>
          </cell>
          <cell r="J50">
            <v>1156780.5</v>
          </cell>
        </row>
        <row r="51">
          <cell r="H51">
            <v>8240.49</v>
          </cell>
          <cell r="J51">
            <v>1236073.5</v>
          </cell>
        </row>
        <row r="56">
          <cell r="H56">
            <v>1876.6</v>
          </cell>
          <cell r="J56">
            <v>215809</v>
          </cell>
        </row>
        <row r="57">
          <cell r="H57">
            <v>2267.16</v>
          </cell>
          <cell r="J57">
            <v>260723.4</v>
          </cell>
        </row>
        <row r="58">
          <cell r="H58">
            <v>2804.22</v>
          </cell>
          <cell r="J58">
            <v>322485.3</v>
          </cell>
        </row>
        <row r="63">
          <cell r="H63">
            <v>510884.29</v>
          </cell>
          <cell r="J63">
            <v>6130611.4799999995</v>
          </cell>
        </row>
        <row r="64">
          <cell r="H64">
            <v>568738.47</v>
          </cell>
          <cell r="J64">
            <v>6824861.6399999997</v>
          </cell>
        </row>
        <row r="65">
          <cell r="H65">
            <v>613841.86</v>
          </cell>
          <cell r="J65">
            <v>7366102.3200000003</v>
          </cell>
        </row>
        <row r="70">
          <cell r="H70">
            <v>61044.01</v>
          </cell>
          <cell r="J70">
            <v>4273080.7</v>
          </cell>
        </row>
        <row r="71">
          <cell r="H71">
            <v>65578.23</v>
          </cell>
          <cell r="J71">
            <v>4590476.0999999996</v>
          </cell>
        </row>
        <row r="72">
          <cell r="H72">
            <v>68746.86</v>
          </cell>
          <cell r="J72">
            <v>4812280.2</v>
          </cell>
        </row>
        <row r="77">
          <cell r="H77">
            <v>3469.13</v>
          </cell>
          <cell r="J77">
            <v>242839.1</v>
          </cell>
        </row>
        <row r="78">
          <cell r="H78">
            <v>3834.73</v>
          </cell>
          <cell r="J78">
            <v>268431.09999999998</v>
          </cell>
        </row>
        <row r="79">
          <cell r="H79">
            <v>4366.3500000000004</v>
          </cell>
          <cell r="J79">
            <v>305644.5</v>
          </cell>
        </row>
        <row r="84">
          <cell r="H84">
            <v>3.51</v>
          </cell>
          <cell r="J84">
            <v>70.199999999999989</v>
          </cell>
        </row>
        <row r="85">
          <cell r="H85">
            <v>3.51</v>
          </cell>
          <cell r="J85">
            <v>70.199999999999989</v>
          </cell>
        </row>
        <row r="86">
          <cell r="H86">
            <v>3.51</v>
          </cell>
          <cell r="J86">
            <v>70.199999999999989</v>
          </cell>
        </row>
        <row r="91">
          <cell r="H91">
            <v>4.83</v>
          </cell>
          <cell r="J91">
            <v>28.98</v>
          </cell>
        </row>
        <row r="92">
          <cell r="H92">
            <v>4.83</v>
          </cell>
          <cell r="J92">
            <v>28.98</v>
          </cell>
        </row>
        <row r="93">
          <cell r="H93">
            <v>4.83</v>
          </cell>
          <cell r="J93">
            <v>28.98</v>
          </cell>
        </row>
      </sheetData>
      <sheetData sheetId="3" refreshError="1"/>
      <sheetData sheetId="4">
        <row r="7">
          <cell r="F7">
            <v>4534.8950000000004</v>
          </cell>
          <cell r="H7">
            <v>521512.92500000005</v>
          </cell>
        </row>
        <row r="8">
          <cell r="F8">
            <v>5116.5479999999998</v>
          </cell>
          <cell r="H8">
            <v>588403.02</v>
          </cell>
        </row>
        <row r="9">
          <cell r="F9">
            <v>5365.8310000000001</v>
          </cell>
          <cell r="H9">
            <v>617070.56500000006</v>
          </cell>
        </row>
        <row r="14">
          <cell r="F14">
            <v>10157.749</v>
          </cell>
          <cell r="H14">
            <v>914197.41</v>
          </cell>
        </row>
        <row r="15">
          <cell r="F15">
            <v>10515.343000000001</v>
          </cell>
          <cell r="H15">
            <v>946380.87000000011</v>
          </cell>
        </row>
        <row r="16">
          <cell r="F16">
            <v>10728.432000000001</v>
          </cell>
          <cell r="H16">
            <v>965558.88000000012</v>
          </cell>
        </row>
        <row r="21">
          <cell r="F21">
            <v>182756.41800000001</v>
          </cell>
          <cell r="H21">
            <v>21016988.07</v>
          </cell>
        </row>
        <row r="22">
          <cell r="F22">
            <v>212997.266</v>
          </cell>
          <cell r="H22">
            <v>24494685.59</v>
          </cell>
        </row>
        <row r="23">
          <cell r="F23">
            <v>237797.31400000001</v>
          </cell>
          <cell r="H23">
            <v>27346691.110000003</v>
          </cell>
        </row>
        <row r="28">
          <cell r="F28">
            <v>3131.5059999999999</v>
          </cell>
          <cell r="H28">
            <v>93945.18</v>
          </cell>
        </row>
        <row r="29">
          <cell r="F29">
            <v>3221.4459999999999</v>
          </cell>
          <cell r="H29">
            <v>96643.38</v>
          </cell>
        </row>
        <row r="30">
          <cell r="F30">
            <v>3378.2370000000001</v>
          </cell>
          <cell r="H30">
            <v>101347.11</v>
          </cell>
        </row>
        <row r="35">
          <cell r="F35">
            <v>907.89599999999996</v>
          </cell>
          <cell r="H35">
            <v>27236.879999999997</v>
          </cell>
        </row>
        <row r="36">
          <cell r="F36">
            <v>951.52800000000002</v>
          </cell>
          <cell r="H36">
            <v>28545.84</v>
          </cell>
        </row>
        <row r="37">
          <cell r="F37">
            <v>953.78800000000001</v>
          </cell>
          <cell r="H37">
            <v>28613.64</v>
          </cell>
        </row>
        <row r="42">
          <cell r="F42">
            <v>2768.826</v>
          </cell>
          <cell r="H42">
            <v>83064.78</v>
          </cell>
        </row>
        <row r="43">
          <cell r="F43">
            <v>3220.4639999999999</v>
          </cell>
          <cell r="H43">
            <v>96613.92</v>
          </cell>
        </row>
        <row r="44">
          <cell r="F44">
            <v>3551.7</v>
          </cell>
          <cell r="H44">
            <v>106551</v>
          </cell>
        </row>
        <row r="49">
          <cell r="F49">
            <v>9251.1689999999999</v>
          </cell>
          <cell r="H49">
            <v>92511.69</v>
          </cell>
        </row>
        <row r="50">
          <cell r="F50">
            <v>9400.0859999999993</v>
          </cell>
          <cell r="H50">
            <v>94000.859999999986</v>
          </cell>
        </row>
        <row r="51">
          <cell r="F51">
            <v>10037.335999999999</v>
          </cell>
          <cell r="H51">
            <v>100373.35999999999</v>
          </cell>
        </row>
        <row r="56">
          <cell r="F56">
            <v>0.59399999999999997</v>
          </cell>
        </row>
        <row r="57">
          <cell r="F57">
            <v>0.59399999999999997</v>
          </cell>
        </row>
        <row r="58">
          <cell r="F58">
            <v>0.59399999999999997</v>
          </cell>
        </row>
        <row r="63">
          <cell r="F63">
            <v>38.332999999999998</v>
          </cell>
        </row>
        <row r="64">
          <cell r="F64">
            <v>38.332999999999998</v>
          </cell>
        </row>
        <row r="65">
          <cell r="F65">
            <v>38.332999999999998</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F054-98E8-4E5E-AEBB-8EF6F15E5C02}">
  <sheetPr>
    <tabColor theme="3" tint="0.79998168889431442"/>
  </sheetPr>
  <dimension ref="A1:O54"/>
  <sheetViews>
    <sheetView topLeftCell="C1" zoomScaleNormal="100" workbookViewId="0">
      <selection activeCell="E14" sqref="E14"/>
    </sheetView>
  </sheetViews>
  <sheetFormatPr defaultRowHeight="14.4" x14ac:dyDescent="0.3"/>
  <cols>
    <col min="1" max="1" width="2.5546875" customWidth="1"/>
    <col min="2" max="2" width="71.6640625" customWidth="1"/>
    <col min="3" max="3" width="21.109375" customWidth="1"/>
    <col min="4" max="4" width="13.88671875" customWidth="1"/>
    <col min="5" max="6" width="15.44140625" customWidth="1"/>
    <col min="7" max="7" width="11.6640625" customWidth="1"/>
    <col min="8" max="8" width="12" customWidth="1"/>
    <col min="9" max="9" width="11.109375" customWidth="1"/>
    <col min="10" max="11" width="16.6640625" customWidth="1"/>
    <col min="12" max="12" width="13.33203125" customWidth="1"/>
    <col min="14" max="14" width="12.44140625" bestFit="1" customWidth="1"/>
    <col min="15" max="15" width="12.109375" bestFit="1" customWidth="1"/>
  </cols>
  <sheetData>
    <row r="1" spans="1:9" x14ac:dyDescent="0.3">
      <c r="A1" s="197" t="s">
        <v>106</v>
      </c>
      <c r="B1" s="197"/>
      <c r="C1" s="197"/>
      <c r="D1" s="197"/>
      <c r="E1" s="197"/>
      <c r="F1" s="37"/>
      <c r="G1" s="37"/>
      <c r="H1" s="37"/>
      <c r="I1" t="s">
        <v>0</v>
      </c>
    </row>
    <row r="2" spans="1:9" x14ac:dyDescent="0.3">
      <c r="E2" s="39" t="s">
        <v>93</v>
      </c>
    </row>
    <row r="3" spans="1:9" ht="32.25" customHeight="1" x14ac:dyDescent="0.3">
      <c r="B3" s="198" t="s">
        <v>2</v>
      </c>
      <c r="C3" s="198"/>
    </row>
    <row r="4" spans="1:9" x14ac:dyDescent="0.3">
      <c r="B4" s="1" t="s">
        <v>3</v>
      </c>
      <c r="C4" s="1" t="s">
        <v>4</v>
      </c>
    </row>
    <row r="5" spans="1:9" x14ac:dyDescent="0.3">
      <c r="B5" s="2" t="s">
        <v>5</v>
      </c>
      <c r="C5" s="3">
        <v>129098</v>
      </c>
    </row>
    <row r="6" spans="1:9" x14ac:dyDescent="0.3">
      <c r="B6" s="2" t="s">
        <v>6</v>
      </c>
      <c r="C6" s="3">
        <v>63</v>
      </c>
    </row>
    <row r="8" spans="1:9" ht="33" customHeight="1" x14ac:dyDescent="0.3">
      <c r="B8" s="199" t="s">
        <v>7</v>
      </c>
      <c r="C8" s="199"/>
    </row>
    <row r="9" spans="1:9" x14ac:dyDescent="0.3">
      <c r="B9" s="1" t="s">
        <v>3</v>
      </c>
      <c r="C9" s="1" t="s">
        <v>4</v>
      </c>
    </row>
    <row r="10" spans="1:9" x14ac:dyDescent="0.3">
      <c r="B10" s="2" t="s">
        <v>8</v>
      </c>
      <c r="C10" s="3">
        <v>289639996</v>
      </c>
    </row>
    <row r="11" spans="1:9" x14ac:dyDescent="0.3">
      <c r="B11" s="2" t="s">
        <v>9</v>
      </c>
      <c r="C11" s="3">
        <v>911503</v>
      </c>
    </row>
    <row r="13" spans="1:9" ht="33" customHeight="1" x14ac:dyDescent="0.3">
      <c r="B13" s="199" t="s">
        <v>107</v>
      </c>
      <c r="C13" s="199"/>
    </row>
    <row r="14" spans="1:9" x14ac:dyDescent="0.3">
      <c r="B14" s="1" t="s">
        <v>3</v>
      </c>
      <c r="C14" s="1" t="s">
        <v>4</v>
      </c>
    </row>
    <row r="15" spans="1:9" x14ac:dyDescent="0.3">
      <c r="B15" s="2" t="s">
        <v>10</v>
      </c>
      <c r="C15" s="4">
        <v>106.37</v>
      </c>
    </row>
    <row r="16" spans="1:9" x14ac:dyDescent="0.3">
      <c r="B16" s="2" t="s">
        <v>11</v>
      </c>
      <c r="C16" s="4">
        <v>100.91</v>
      </c>
    </row>
    <row r="18" spans="2:15" ht="32.25" customHeight="1" thickBot="1" x14ac:dyDescent="0.35">
      <c r="B18" s="199" t="s">
        <v>12</v>
      </c>
      <c r="C18" s="199"/>
      <c r="D18" s="199"/>
    </row>
    <row r="19" spans="2:15" ht="56.25" customHeight="1" x14ac:dyDescent="0.3">
      <c r="B19" s="49" t="s">
        <v>13</v>
      </c>
      <c r="C19" s="49" t="s">
        <v>14</v>
      </c>
      <c r="D19" s="50" t="s">
        <v>97</v>
      </c>
      <c r="E19" s="51" t="s">
        <v>98</v>
      </c>
      <c r="F19" s="50" t="s">
        <v>99</v>
      </c>
      <c r="G19" s="52" t="s">
        <v>100</v>
      </c>
      <c r="H19" s="53" t="s">
        <v>101</v>
      </c>
      <c r="I19" s="54" t="s">
        <v>102</v>
      </c>
      <c r="J19" s="53" t="s">
        <v>103</v>
      </c>
      <c r="K19" s="53" t="s">
        <v>104</v>
      </c>
      <c r="L19" s="55" t="s">
        <v>105</v>
      </c>
      <c r="N19" s="44"/>
    </row>
    <row r="20" spans="2:15" x14ac:dyDescent="0.3">
      <c r="B20" s="2" t="s">
        <v>17</v>
      </c>
      <c r="C20" s="2">
        <v>1532306</v>
      </c>
      <c r="D20" s="2">
        <v>183758258</v>
      </c>
      <c r="E20" s="56">
        <f>+(D20/1000)*(372-60)</f>
        <v>57332576.495999999</v>
      </c>
      <c r="F20" s="57">
        <f>(E20*100)/$E$42</f>
        <v>60.192362870885205</v>
      </c>
      <c r="G20" s="58">
        <v>115</v>
      </c>
      <c r="H20" s="59">
        <v>100</v>
      </c>
      <c r="I20" s="60">
        <f t="shared" ref="I20:I41" si="0">C20*H20</f>
        <v>153230600</v>
      </c>
      <c r="J20" s="5">
        <f>(I20/1000)*(372-60)</f>
        <v>47807947.200000003</v>
      </c>
      <c r="K20" s="57">
        <f>(J20*100)/$E$42</f>
        <v>50.192638842513745</v>
      </c>
      <c r="L20" s="61">
        <f>E20-J20</f>
        <v>9524629.2959999964</v>
      </c>
      <c r="N20" s="44"/>
      <c r="O20" s="44"/>
    </row>
    <row r="21" spans="2:15" x14ac:dyDescent="0.3">
      <c r="B21" s="2" t="s">
        <v>18</v>
      </c>
      <c r="C21" s="2">
        <v>232804</v>
      </c>
      <c r="D21" s="2">
        <v>28059833</v>
      </c>
      <c r="E21" s="56">
        <f t="shared" ref="E21:E41" si="1">+(D21/1000)*(372-60)</f>
        <v>8754667.8959999997</v>
      </c>
      <c r="F21" s="57">
        <f t="shared" ref="F21:F41" si="2">(E21*100)/$E$42</f>
        <v>9.1913564506713996</v>
      </c>
      <c r="G21" s="58">
        <v>115</v>
      </c>
      <c r="H21" s="59">
        <v>100</v>
      </c>
      <c r="I21" s="60">
        <f t="shared" si="0"/>
        <v>23280400</v>
      </c>
      <c r="J21" s="5">
        <f t="shared" ref="J21:J41" si="3">(I21/1000)*(372-60)</f>
        <v>7263484.8000000007</v>
      </c>
      <c r="K21" s="57">
        <f t="shared" ref="K21:K41" si="4">(J21*100)/$E$42</f>
        <v>7.6257921675517624</v>
      </c>
      <c r="L21" s="61">
        <f t="shared" ref="L21:L27" si="5">E21-J21</f>
        <v>1491183.095999999</v>
      </c>
    </row>
    <row r="22" spans="2:15" x14ac:dyDescent="0.3">
      <c r="B22" s="2" t="s">
        <v>19</v>
      </c>
      <c r="C22" s="2">
        <v>10680</v>
      </c>
      <c r="D22" s="2">
        <v>2693246</v>
      </c>
      <c r="E22" s="56">
        <f t="shared" si="1"/>
        <v>840292.75199999998</v>
      </c>
      <c r="F22" s="57">
        <f t="shared" si="2"/>
        <v>0.88220710349006515</v>
      </c>
      <c r="G22" s="58">
        <v>240</v>
      </c>
      <c r="H22" s="62">
        <v>240</v>
      </c>
      <c r="I22" s="60">
        <f t="shared" si="0"/>
        <v>2563200</v>
      </c>
      <c r="J22" s="5">
        <f t="shared" si="3"/>
        <v>799718.39999999991</v>
      </c>
      <c r="K22" s="57">
        <f t="shared" si="4"/>
        <v>0.83960887630232606</v>
      </c>
      <c r="L22" s="63">
        <f t="shared" si="5"/>
        <v>40574.352000000072</v>
      </c>
      <c r="N22" s="44"/>
    </row>
    <row r="23" spans="2:15" x14ac:dyDescent="0.3">
      <c r="B23" s="2" t="s">
        <v>20</v>
      </c>
      <c r="C23" s="2">
        <v>4703</v>
      </c>
      <c r="D23" s="2">
        <v>1253971</v>
      </c>
      <c r="E23" s="56">
        <f t="shared" si="1"/>
        <v>391238.95199999999</v>
      </c>
      <c r="F23" s="57">
        <f t="shared" si="2"/>
        <v>0.41075420654872979</v>
      </c>
      <c r="G23" s="58">
        <v>240</v>
      </c>
      <c r="H23" s="62">
        <v>240</v>
      </c>
      <c r="I23" s="60">
        <f t="shared" si="0"/>
        <v>1128720</v>
      </c>
      <c r="J23" s="5">
        <f t="shared" si="3"/>
        <v>352160.64</v>
      </c>
      <c r="K23" s="57">
        <f t="shared" si="4"/>
        <v>0.36972664281365542</v>
      </c>
      <c r="L23" s="63">
        <f t="shared" si="5"/>
        <v>39078.311999999976</v>
      </c>
    </row>
    <row r="24" spans="2:15" x14ac:dyDescent="0.3">
      <c r="B24" s="2" t="s">
        <v>21</v>
      </c>
      <c r="C24" s="2">
        <v>15569</v>
      </c>
      <c r="D24" s="2">
        <v>2580242</v>
      </c>
      <c r="E24" s="56">
        <f t="shared" si="1"/>
        <v>805035.50400000007</v>
      </c>
      <c r="F24" s="57">
        <f t="shared" si="2"/>
        <v>0.84519120092387134</v>
      </c>
      <c r="G24" s="58">
        <v>150</v>
      </c>
      <c r="H24" s="59">
        <v>135</v>
      </c>
      <c r="I24" s="60">
        <f t="shared" si="0"/>
        <v>2101815</v>
      </c>
      <c r="J24" s="5">
        <f t="shared" si="3"/>
        <v>655766.28</v>
      </c>
      <c r="K24" s="57">
        <f t="shared" si="4"/>
        <v>0.68847633050303281</v>
      </c>
      <c r="L24" s="61">
        <f t="shared" si="5"/>
        <v>149269.22400000005</v>
      </c>
    </row>
    <row r="25" spans="2:15" x14ac:dyDescent="0.3">
      <c r="B25" s="2" t="s">
        <v>22</v>
      </c>
      <c r="C25" s="2">
        <v>4962</v>
      </c>
      <c r="D25" s="2">
        <v>1240403</v>
      </c>
      <c r="E25" s="56">
        <f t="shared" si="1"/>
        <v>387005.73600000003</v>
      </c>
      <c r="F25" s="57">
        <f t="shared" si="2"/>
        <v>0.40630983496880241</v>
      </c>
      <c r="G25" s="58">
        <v>250</v>
      </c>
      <c r="H25" s="62">
        <v>250</v>
      </c>
      <c r="I25" s="60">
        <f t="shared" si="0"/>
        <v>1240500</v>
      </c>
      <c r="J25" s="5">
        <f t="shared" si="3"/>
        <v>387036</v>
      </c>
      <c r="K25" s="57">
        <f t="shared" si="4"/>
        <v>0.40634160855689594</v>
      </c>
      <c r="L25" s="63">
        <f t="shared" si="5"/>
        <v>-30.263999999966472</v>
      </c>
    </row>
    <row r="26" spans="2:15" x14ac:dyDescent="0.3">
      <c r="B26" s="2" t="s">
        <v>23</v>
      </c>
      <c r="C26" s="2">
        <v>10624</v>
      </c>
      <c r="D26" s="2">
        <v>1593658</v>
      </c>
      <c r="E26" s="56">
        <f t="shared" si="1"/>
        <v>497221.29599999997</v>
      </c>
      <c r="F26" s="57">
        <f t="shared" si="2"/>
        <v>0.5220230191129106</v>
      </c>
      <c r="G26" s="58">
        <v>150</v>
      </c>
      <c r="H26" s="62">
        <v>150</v>
      </c>
      <c r="I26" s="60">
        <f t="shared" si="0"/>
        <v>1593600</v>
      </c>
      <c r="J26" s="5">
        <f t="shared" si="3"/>
        <v>497203.19999999995</v>
      </c>
      <c r="K26" s="57">
        <f t="shared" si="4"/>
        <v>0.52200402047260719</v>
      </c>
      <c r="L26" s="63">
        <f t="shared" si="5"/>
        <v>18.096000000019558</v>
      </c>
    </row>
    <row r="27" spans="2:15" x14ac:dyDescent="0.3">
      <c r="B27" s="2" t="s">
        <v>24</v>
      </c>
      <c r="C27" s="2">
        <v>7049</v>
      </c>
      <c r="D27" s="2">
        <v>810645</v>
      </c>
      <c r="E27" s="56">
        <f t="shared" si="1"/>
        <v>252921.24</v>
      </c>
      <c r="F27" s="57">
        <f t="shared" si="2"/>
        <v>0.26553711670181773</v>
      </c>
      <c r="G27" s="58">
        <v>115</v>
      </c>
      <c r="H27" s="62">
        <v>115</v>
      </c>
      <c r="I27" s="60">
        <f t="shared" si="0"/>
        <v>810635</v>
      </c>
      <c r="J27" s="5">
        <f t="shared" si="3"/>
        <v>252918.12</v>
      </c>
      <c r="K27" s="57">
        <f t="shared" si="4"/>
        <v>0.26553384107417921</v>
      </c>
      <c r="L27" s="63">
        <f t="shared" si="5"/>
        <v>3.1199999999953434</v>
      </c>
    </row>
    <row r="28" spans="2:15" x14ac:dyDescent="0.3">
      <c r="B28" s="2" t="s">
        <v>25</v>
      </c>
      <c r="C28" s="45">
        <v>933109</v>
      </c>
      <c r="D28" s="45">
        <v>11197306</v>
      </c>
      <c r="E28" s="56">
        <f t="shared" si="1"/>
        <v>3493559.4720000001</v>
      </c>
      <c r="F28" s="57">
        <f t="shared" si="2"/>
        <v>3.6678205010429519</v>
      </c>
      <c r="G28" s="58">
        <v>12</v>
      </c>
      <c r="H28" s="59">
        <v>0</v>
      </c>
      <c r="I28" s="60">
        <f t="shared" si="0"/>
        <v>0</v>
      </c>
      <c r="J28" s="5">
        <f t="shared" si="3"/>
        <v>0</v>
      </c>
      <c r="K28" s="57">
        <f t="shared" si="4"/>
        <v>0</v>
      </c>
      <c r="L28" s="61">
        <f>E28</f>
        <v>3493559.4720000001</v>
      </c>
    </row>
    <row r="29" spans="2:15" x14ac:dyDescent="0.3">
      <c r="B29" s="2" t="s">
        <v>26</v>
      </c>
      <c r="C29" s="45">
        <v>114024</v>
      </c>
      <c r="D29" s="45">
        <v>7981664</v>
      </c>
      <c r="E29" s="56">
        <f t="shared" si="1"/>
        <v>2490279.1680000001</v>
      </c>
      <c r="F29" s="57">
        <f t="shared" si="2"/>
        <v>2.6144959199682938</v>
      </c>
      <c r="G29" s="58">
        <v>70</v>
      </c>
      <c r="H29" s="59">
        <v>65</v>
      </c>
      <c r="I29" s="60">
        <f t="shared" si="0"/>
        <v>7411560</v>
      </c>
      <c r="J29" s="5">
        <f t="shared" si="3"/>
        <v>2312406.7200000002</v>
      </c>
      <c r="K29" s="57">
        <f t="shared" si="4"/>
        <v>2.4277510780459073</v>
      </c>
      <c r="L29" s="61">
        <f t="shared" ref="L29:L42" si="6">E29-J29</f>
        <v>177872.44799999986</v>
      </c>
    </row>
    <row r="30" spans="2:15" x14ac:dyDescent="0.3">
      <c r="B30" s="2" t="s">
        <v>27</v>
      </c>
      <c r="C30" s="45">
        <v>4322</v>
      </c>
      <c r="D30" s="45">
        <v>302531</v>
      </c>
      <c r="E30" s="56">
        <f t="shared" si="1"/>
        <v>94389.672000000006</v>
      </c>
      <c r="F30" s="57">
        <f t="shared" si="2"/>
        <v>9.9097890510541145E-2</v>
      </c>
      <c r="G30" s="58">
        <v>70</v>
      </c>
      <c r="H30" s="62">
        <v>70</v>
      </c>
      <c r="I30" s="60">
        <f t="shared" si="0"/>
        <v>302540</v>
      </c>
      <c r="J30" s="5">
        <f t="shared" si="3"/>
        <v>94392.48000000001</v>
      </c>
      <c r="K30" s="57">
        <f t="shared" si="4"/>
        <v>9.9100838575415809E-2</v>
      </c>
      <c r="L30" s="63">
        <f t="shared" si="6"/>
        <v>-2.8080000000045402</v>
      </c>
    </row>
    <row r="31" spans="2:15" x14ac:dyDescent="0.3">
      <c r="B31" s="2" t="s">
        <v>28</v>
      </c>
      <c r="C31" s="45">
        <v>38100</v>
      </c>
      <c r="D31" s="45">
        <v>762000</v>
      </c>
      <c r="E31" s="56">
        <f t="shared" si="1"/>
        <v>237744</v>
      </c>
      <c r="F31" s="57">
        <f t="shared" si="2"/>
        <v>0.2496028260542964</v>
      </c>
      <c r="G31" s="58">
        <v>20</v>
      </c>
      <c r="H31" s="59">
        <v>15</v>
      </c>
      <c r="I31" s="60">
        <f t="shared" si="0"/>
        <v>571500</v>
      </c>
      <c r="J31" s="5">
        <f t="shared" si="3"/>
        <v>178308</v>
      </c>
      <c r="K31" s="57">
        <f t="shared" si="4"/>
        <v>0.1872021195407223</v>
      </c>
      <c r="L31" s="61">
        <f t="shared" si="6"/>
        <v>59436</v>
      </c>
    </row>
    <row r="32" spans="2:15" x14ac:dyDescent="0.3">
      <c r="B32" s="2" t="s">
        <v>29</v>
      </c>
      <c r="C32" s="45">
        <v>53475</v>
      </c>
      <c r="D32" s="45">
        <v>320850</v>
      </c>
      <c r="E32" s="56">
        <f t="shared" si="1"/>
        <v>100105.20000000001</v>
      </c>
      <c r="F32" s="57">
        <f t="shared" si="2"/>
        <v>0.10509851278152364</v>
      </c>
      <c r="G32" s="58">
        <v>6</v>
      </c>
      <c r="H32" s="62">
        <v>6</v>
      </c>
      <c r="I32" s="60">
        <f t="shared" si="0"/>
        <v>320850</v>
      </c>
      <c r="J32" s="5">
        <f t="shared" si="3"/>
        <v>100105.20000000001</v>
      </c>
      <c r="K32" s="57">
        <f t="shared" si="4"/>
        <v>0.10509851278152364</v>
      </c>
      <c r="L32" s="63">
        <f t="shared" si="6"/>
        <v>0</v>
      </c>
    </row>
    <row r="33" spans="2:14" x14ac:dyDescent="0.3">
      <c r="B33" s="2" t="s">
        <v>30</v>
      </c>
      <c r="C33" s="45">
        <v>11905</v>
      </c>
      <c r="D33" s="45">
        <v>1369117</v>
      </c>
      <c r="E33" s="56">
        <f t="shared" si="1"/>
        <v>427164.50400000002</v>
      </c>
      <c r="F33" s="57">
        <f t="shared" si="2"/>
        <v>0.44847174855509203</v>
      </c>
      <c r="G33" s="58">
        <v>115</v>
      </c>
      <c r="H33" s="62">
        <v>115</v>
      </c>
      <c r="I33" s="60">
        <f t="shared" si="0"/>
        <v>1369075</v>
      </c>
      <c r="J33" s="5">
        <f t="shared" si="3"/>
        <v>427151.4</v>
      </c>
      <c r="K33" s="57">
        <f t="shared" si="4"/>
        <v>0.44845799091901029</v>
      </c>
      <c r="L33" s="63">
        <f t="shared" si="6"/>
        <v>13.103999999992084</v>
      </c>
    </row>
    <row r="34" spans="2:14" x14ac:dyDescent="0.3">
      <c r="B34" s="2" t="s">
        <v>31</v>
      </c>
      <c r="C34" s="45">
        <v>15608</v>
      </c>
      <c r="D34" s="45">
        <v>1404711</v>
      </c>
      <c r="E34" s="56">
        <f t="shared" si="1"/>
        <v>438269.83199999999</v>
      </c>
      <c r="F34" s="57">
        <f t="shared" si="2"/>
        <v>0.46013101757159686</v>
      </c>
      <c r="G34" s="58">
        <v>90</v>
      </c>
      <c r="H34" s="62">
        <v>90</v>
      </c>
      <c r="I34" s="60">
        <f>C34*H34</f>
        <v>1404720</v>
      </c>
      <c r="J34" s="5">
        <f>(I34/1000)*(372-60)</f>
        <v>438272.64</v>
      </c>
      <c r="K34" s="57">
        <f t="shared" si="4"/>
        <v>0.46013396563647146</v>
      </c>
      <c r="L34" s="63">
        <f>E34-J34</f>
        <v>-2.8080000000190921</v>
      </c>
    </row>
    <row r="35" spans="2:14" x14ac:dyDescent="0.3">
      <c r="B35" s="2" t="s">
        <v>32</v>
      </c>
      <c r="C35" s="45">
        <v>495078</v>
      </c>
      <c r="D35" s="45">
        <v>56933988</v>
      </c>
      <c r="E35" s="56">
        <f t="shared" si="1"/>
        <v>17763404.256000001</v>
      </c>
      <c r="F35" s="57">
        <f t="shared" si="2"/>
        <v>18.649454466327295</v>
      </c>
      <c r="G35" s="58">
        <v>115</v>
      </c>
      <c r="H35" s="64">
        <v>128</v>
      </c>
      <c r="I35" s="60">
        <f t="shared" si="0"/>
        <v>63369984</v>
      </c>
      <c r="J35" s="5">
        <f t="shared" si="3"/>
        <v>19771435.007999998</v>
      </c>
      <c r="K35" s="57">
        <f t="shared" si="4"/>
        <v>20.757647104219874</v>
      </c>
      <c r="L35" s="65">
        <f t="shared" si="6"/>
        <v>-2008030.7519999966</v>
      </c>
    </row>
    <row r="36" spans="2:14" x14ac:dyDescent="0.3">
      <c r="B36" s="2" t="s">
        <v>33</v>
      </c>
      <c r="C36" s="45">
        <v>42426</v>
      </c>
      <c r="D36" s="45">
        <v>1272793</v>
      </c>
      <c r="E36" s="56">
        <f t="shared" si="1"/>
        <v>397111.41599999997</v>
      </c>
      <c r="F36" s="57">
        <f t="shared" si="2"/>
        <v>0.41691959288992919</v>
      </c>
      <c r="G36" s="58">
        <v>30</v>
      </c>
      <c r="H36" s="62">
        <v>30</v>
      </c>
      <c r="I36" s="60">
        <f t="shared" si="0"/>
        <v>1272780</v>
      </c>
      <c r="J36" s="5">
        <f t="shared" si="3"/>
        <v>397107.36</v>
      </c>
      <c r="K36" s="57">
        <f t="shared" si="4"/>
        <v>0.41691533457399921</v>
      </c>
      <c r="L36" s="63">
        <f t="shared" si="6"/>
        <v>4.0559999999823049</v>
      </c>
    </row>
    <row r="37" spans="2:14" x14ac:dyDescent="0.3">
      <c r="B37" s="2" t="s">
        <v>34</v>
      </c>
      <c r="C37" s="45">
        <v>18287</v>
      </c>
      <c r="D37" s="45">
        <v>548613</v>
      </c>
      <c r="E37" s="56">
        <f t="shared" si="1"/>
        <v>171167.25600000002</v>
      </c>
      <c r="F37" s="57">
        <f t="shared" si="2"/>
        <v>0.17970519056446946</v>
      </c>
      <c r="G37" s="58">
        <v>30</v>
      </c>
      <c r="H37" s="62">
        <v>30</v>
      </c>
      <c r="I37" s="60">
        <f t="shared" si="0"/>
        <v>548610</v>
      </c>
      <c r="J37" s="5">
        <f t="shared" si="3"/>
        <v>171166.32</v>
      </c>
      <c r="K37" s="57">
        <f t="shared" si="4"/>
        <v>0.17970420787617788</v>
      </c>
      <c r="L37" s="63">
        <f t="shared" si="6"/>
        <v>0.93600000001606531</v>
      </c>
    </row>
    <row r="38" spans="2:14" x14ac:dyDescent="0.3">
      <c r="B38" s="2" t="s">
        <v>35</v>
      </c>
      <c r="C38" s="45">
        <v>10729</v>
      </c>
      <c r="D38" s="45">
        <v>321859</v>
      </c>
      <c r="E38" s="56">
        <f t="shared" si="1"/>
        <v>100420.00799999999</v>
      </c>
      <c r="F38" s="57">
        <f t="shared" si="2"/>
        <v>0.10542902361024906</v>
      </c>
      <c r="G38" s="58">
        <v>30</v>
      </c>
      <c r="H38" s="62">
        <v>30</v>
      </c>
      <c r="I38" s="60">
        <f t="shared" si="0"/>
        <v>321870</v>
      </c>
      <c r="J38" s="5">
        <f t="shared" si="3"/>
        <v>100423.44</v>
      </c>
      <c r="K38" s="57">
        <f t="shared" si="4"/>
        <v>0.10543262680065142</v>
      </c>
      <c r="L38" s="63">
        <f t="shared" si="6"/>
        <v>-3.4320000000152504</v>
      </c>
    </row>
    <row r="39" spans="2:14" x14ac:dyDescent="0.3">
      <c r="B39" s="2" t="s">
        <v>36</v>
      </c>
      <c r="C39" s="45">
        <v>86834</v>
      </c>
      <c r="D39" s="45">
        <v>868340</v>
      </c>
      <c r="E39" s="56">
        <f t="shared" si="1"/>
        <v>270922.08</v>
      </c>
      <c r="F39" s="57">
        <f t="shared" si="2"/>
        <v>0.28443585036218866</v>
      </c>
      <c r="G39" s="58">
        <v>10</v>
      </c>
      <c r="H39" s="62">
        <v>10</v>
      </c>
      <c r="I39" s="60">
        <f t="shared" si="0"/>
        <v>868340</v>
      </c>
      <c r="J39" s="5">
        <f t="shared" si="3"/>
        <v>270922.08</v>
      </c>
      <c r="K39" s="57">
        <f t="shared" si="4"/>
        <v>0.28443585036218866</v>
      </c>
      <c r="L39" s="63">
        <f t="shared" si="6"/>
        <v>0</v>
      </c>
      <c r="N39" s="44"/>
    </row>
    <row r="40" spans="2:14" x14ac:dyDescent="0.3">
      <c r="B40" s="2" t="s">
        <v>37</v>
      </c>
      <c r="C40" s="45">
        <v>7</v>
      </c>
      <c r="D40" s="45">
        <v>372</v>
      </c>
      <c r="E40" s="56">
        <f t="shared" si="1"/>
        <v>116.06399999999999</v>
      </c>
      <c r="F40" s="57">
        <f t="shared" si="2"/>
        <v>1.2185334815249116E-4</v>
      </c>
      <c r="G40" s="58">
        <v>55</v>
      </c>
      <c r="H40" s="62">
        <v>55</v>
      </c>
      <c r="I40" s="60">
        <f t="shared" si="0"/>
        <v>385</v>
      </c>
      <c r="J40" s="5">
        <f t="shared" si="3"/>
        <v>120.12</v>
      </c>
      <c r="K40" s="57">
        <f t="shared" si="4"/>
        <v>1.2611166408255133E-4</v>
      </c>
      <c r="L40" s="63">
        <f t="shared" si="6"/>
        <v>-4.0560000000000116</v>
      </c>
    </row>
    <row r="41" spans="2:14" x14ac:dyDescent="0.3">
      <c r="B41" s="2" t="s">
        <v>38</v>
      </c>
      <c r="C41" s="2">
        <v>1515</v>
      </c>
      <c r="D41" s="2">
        <v>10605</v>
      </c>
      <c r="E41" s="56">
        <f t="shared" si="1"/>
        <v>3308.76</v>
      </c>
      <c r="F41" s="57">
        <f t="shared" si="2"/>
        <v>3.4738031106375505E-3</v>
      </c>
      <c r="G41" s="58">
        <v>7</v>
      </c>
      <c r="H41" s="62">
        <v>7</v>
      </c>
      <c r="I41" s="60">
        <f t="shared" si="0"/>
        <v>10605</v>
      </c>
      <c r="J41" s="5">
        <f t="shared" si="3"/>
        <v>3308.76</v>
      </c>
      <c r="K41" s="57">
        <f t="shared" si="4"/>
        <v>3.4738031106375505E-3</v>
      </c>
      <c r="L41" s="63">
        <f t="shared" si="6"/>
        <v>0</v>
      </c>
    </row>
    <row r="42" spans="2:14" ht="15" thickBot="1" x14ac:dyDescent="0.35">
      <c r="B42" s="38" t="s">
        <v>39</v>
      </c>
      <c r="C42" s="2"/>
      <c r="D42" s="38">
        <v>305285005</v>
      </c>
      <c r="E42" s="56">
        <f>SUM(E20:E41)</f>
        <v>95248921.559999987</v>
      </c>
      <c r="F42" s="66">
        <f>SUM(F20:F41)</f>
        <v>100.00000000000004</v>
      </c>
      <c r="G42" s="67"/>
      <c r="H42" s="68"/>
      <c r="I42" s="69">
        <f>C42*100</f>
        <v>0</v>
      </c>
      <c r="J42" s="70">
        <f>SUM(J20:J41)</f>
        <v>82281354.167999998</v>
      </c>
      <c r="K42" s="71">
        <f>SUM(K20:K41)</f>
        <v>86.385601873894871</v>
      </c>
      <c r="L42" s="72">
        <f t="shared" si="6"/>
        <v>12967567.39199999</v>
      </c>
    </row>
    <row r="44" spans="2:14" ht="128.4" x14ac:dyDescent="0.3">
      <c r="B44" s="7" t="s">
        <v>187</v>
      </c>
      <c r="C44" s="200" t="s">
        <v>96</v>
      </c>
      <c r="D44" s="200"/>
      <c r="E44" s="200"/>
      <c r="F44" s="200"/>
    </row>
    <row r="45" spans="2:14" ht="15.6" x14ac:dyDescent="0.3">
      <c r="B45" s="7"/>
    </row>
    <row r="46" spans="2:14" x14ac:dyDescent="0.3">
      <c r="B46" s="196" t="s">
        <v>183</v>
      </c>
      <c r="C46" s="196"/>
    </row>
    <row r="47" spans="2:14" x14ac:dyDescent="0.3">
      <c r="B47" s="195" t="s">
        <v>41</v>
      </c>
      <c r="C47" s="195"/>
    </row>
    <row r="48" spans="2:14" x14ac:dyDescent="0.3">
      <c r="B48" s="8" t="s">
        <v>42</v>
      </c>
      <c r="C48" s="9">
        <f>+(D42/1000)*(347-56)</f>
        <v>88837936.454999998</v>
      </c>
    </row>
    <row r="50" spans="2:3" x14ac:dyDescent="0.3">
      <c r="B50" s="196" t="s">
        <v>184</v>
      </c>
      <c r="C50" s="196"/>
    </row>
    <row r="51" spans="2:3" x14ac:dyDescent="0.3">
      <c r="B51" s="195" t="s">
        <v>41</v>
      </c>
      <c r="C51" s="195"/>
    </row>
    <row r="52" spans="2:3" x14ac:dyDescent="0.3">
      <c r="B52" s="8" t="s">
        <v>42</v>
      </c>
      <c r="C52" s="9">
        <f>+(D42/1000)*(372-60)</f>
        <v>95248921.560000002</v>
      </c>
    </row>
    <row r="54" spans="2:3" ht="28.8" x14ac:dyDescent="0.3">
      <c r="B54" s="48" t="s">
        <v>185</v>
      </c>
      <c r="C54" s="44">
        <f>+C52-C48</f>
        <v>6410985.1050000042</v>
      </c>
    </row>
  </sheetData>
  <mergeCells count="10">
    <mergeCell ref="B47:C47"/>
    <mergeCell ref="B50:C50"/>
    <mergeCell ref="B51:C51"/>
    <mergeCell ref="A1:E1"/>
    <mergeCell ref="B3:C3"/>
    <mergeCell ref="B8:C8"/>
    <mergeCell ref="B13:C13"/>
    <mergeCell ref="B18:D18"/>
    <mergeCell ref="B46:C46"/>
    <mergeCell ref="C44:F44"/>
  </mergeCells>
  <pageMargins left="0.11811023622047245" right="0.11811023622047245" top="0.74803149606299213" bottom="0.74803149606299213" header="0.31496062992125984" footer="0.31496062992125984"/>
  <pageSetup paperSize="9" scale="62"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23E23-2F93-435A-966C-8BC2C5CCCE00}">
  <sheetPr>
    <tabColor theme="3" tint="0.79998168889431442"/>
  </sheetPr>
  <dimension ref="A1:F48"/>
  <sheetViews>
    <sheetView topLeftCell="A25" zoomScaleNormal="100" workbookViewId="0">
      <selection activeCell="E4" sqref="E4"/>
    </sheetView>
  </sheetViews>
  <sheetFormatPr defaultRowHeight="14.4" x14ac:dyDescent="0.3"/>
  <cols>
    <col min="1" max="1" width="2.5546875" customWidth="1"/>
    <col min="2" max="2" width="73.44140625" bestFit="1" customWidth="1"/>
    <col min="3" max="3" width="25.88671875" customWidth="1"/>
    <col min="4" max="4" width="14.109375" customWidth="1"/>
    <col min="5" max="5" width="17.33203125" bestFit="1" customWidth="1"/>
    <col min="6" max="6" width="8.88671875" customWidth="1"/>
    <col min="7" max="7" width="7.33203125" customWidth="1"/>
  </cols>
  <sheetData>
    <row r="1" spans="1:6" x14ac:dyDescent="0.3">
      <c r="A1" s="197" t="s">
        <v>91</v>
      </c>
      <c r="B1" s="197"/>
      <c r="C1" s="197"/>
      <c r="D1" s="197"/>
      <c r="E1" s="197"/>
      <c r="F1" t="s">
        <v>237</v>
      </c>
    </row>
    <row r="2" spans="1:6" x14ac:dyDescent="0.3">
      <c r="C2" s="39" t="s">
        <v>1</v>
      </c>
    </row>
    <row r="3" spans="1:6" ht="32.25" customHeight="1" x14ac:dyDescent="0.3">
      <c r="B3" s="198" t="s">
        <v>2</v>
      </c>
      <c r="C3" s="198"/>
    </row>
    <row r="4" spans="1:6" x14ac:dyDescent="0.3">
      <c r="B4" s="1" t="s">
        <v>3</v>
      </c>
      <c r="C4" s="1" t="s">
        <v>4</v>
      </c>
    </row>
    <row r="5" spans="1:6" x14ac:dyDescent="0.3">
      <c r="B5" s="2" t="s">
        <v>5</v>
      </c>
      <c r="C5" s="3">
        <v>138257</v>
      </c>
    </row>
    <row r="6" spans="1:6" x14ac:dyDescent="0.3">
      <c r="B6" s="2" t="s">
        <v>6</v>
      </c>
      <c r="C6" s="3">
        <v>65</v>
      </c>
    </row>
    <row r="8" spans="1:6" ht="33" customHeight="1" x14ac:dyDescent="0.3">
      <c r="B8" s="199" t="s">
        <v>7</v>
      </c>
      <c r="C8" s="199"/>
    </row>
    <row r="9" spans="1:6" x14ac:dyDescent="0.3">
      <c r="B9" s="1" t="s">
        <v>3</v>
      </c>
      <c r="C9" s="1" t="s">
        <v>4</v>
      </c>
    </row>
    <row r="10" spans="1:6" x14ac:dyDescent="0.3">
      <c r="B10" s="2" t="s">
        <v>8</v>
      </c>
      <c r="C10" s="3">
        <v>266203440</v>
      </c>
    </row>
    <row r="11" spans="1:6" x14ac:dyDescent="0.3">
      <c r="B11" s="2" t="s">
        <v>9</v>
      </c>
      <c r="C11" s="3">
        <v>930594</v>
      </c>
    </row>
    <row r="13" spans="1:6" ht="33" customHeight="1" x14ac:dyDescent="0.3">
      <c r="B13" s="199" t="s">
        <v>107</v>
      </c>
      <c r="C13" s="199"/>
    </row>
    <row r="14" spans="1:6" x14ac:dyDescent="0.3">
      <c r="B14" s="1" t="s">
        <v>3</v>
      </c>
      <c r="C14" s="1" t="s">
        <v>4</v>
      </c>
    </row>
    <row r="15" spans="1:6" x14ac:dyDescent="0.3">
      <c r="B15" s="2" t="s">
        <v>10</v>
      </c>
      <c r="C15" s="4">
        <v>103.44</v>
      </c>
    </row>
    <row r="16" spans="1:6" x14ac:dyDescent="0.3">
      <c r="B16" s="2" t="s">
        <v>11</v>
      </c>
      <c r="C16" s="4">
        <v>93.34</v>
      </c>
    </row>
    <row r="18" spans="2:5" ht="32.25" customHeight="1" x14ac:dyDescent="0.3">
      <c r="B18" s="199" t="s">
        <v>12</v>
      </c>
      <c r="C18" s="199"/>
      <c r="D18" s="199"/>
    </row>
    <row r="19" spans="2:5" x14ac:dyDescent="0.3">
      <c r="B19" s="1" t="s">
        <v>13</v>
      </c>
      <c r="C19" s="1" t="s">
        <v>14</v>
      </c>
      <c r="D19" s="1" t="s">
        <v>15</v>
      </c>
      <c r="E19" s="1" t="s">
        <v>16</v>
      </c>
    </row>
    <row r="20" spans="2:5" x14ac:dyDescent="0.3">
      <c r="B20" s="2" t="s">
        <v>17</v>
      </c>
      <c r="C20" s="2">
        <v>1536240</v>
      </c>
      <c r="D20" s="2">
        <v>176667600</v>
      </c>
      <c r="E20" s="5">
        <f>+(D20/1000)*(347-56)</f>
        <v>51410271.600000001</v>
      </c>
    </row>
    <row r="21" spans="2:5" x14ac:dyDescent="0.3">
      <c r="B21" s="2" t="s">
        <v>18</v>
      </c>
      <c r="C21" s="2">
        <v>201504</v>
      </c>
      <c r="D21" s="2">
        <v>23172926</v>
      </c>
      <c r="E21" s="5">
        <f t="shared" ref="E21:E41" si="0">+(D21/1000)*(347-56)</f>
        <v>6743321.466</v>
      </c>
    </row>
    <row r="22" spans="2:5" x14ac:dyDescent="0.3">
      <c r="B22" s="2" t="s">
        <v>19</v>
      </c>
      <c r="C22" s="2">
        <v>11604</v>
      </c>
      <c r="D22" s="2">
        <v>2784916</v>
      </c>
      <c r="E22" s="5">
        <f t="shared" si="0"/>
        <v>810410.5560000001</v>
      </c>
    </row>
    <row r="23" spans="2:5" x14ac:dyDescent="0.3">
      <c r="B23" s="2" t="s">
        <v>20</v>
      </c>
      <c r="C23" s="2">
        <v>4154</v>
      </c>
      <c r="D23" s="2">
        <v>996948</v>
      </c>
      <c r="E23" s="5">
        <f t="shared" si="0"/>
        <v>290111.86800000002</v>
      </c>
    </row>
    <row r="24" spans="2:5" x14ac:dyDescent="0.3">
      <c r="B24" s="2" t="s">
        <v>21</v>
      </c>
      <c r="C24" s="2">
        <v>17504</v>
      </c>
      <c r="D24" s="2">
        <v>2625635</v>
      </c>
      <c r="E24" s="5">
        <f t="shared" si="0"/>
        <v>764059.78500000003</v>
      </c>
    </row>
    <row r="25" spans="2:5" x14ac:dyDescent="0.3">
      <c r="B25" s="2" t="s">
        <v>22</v>
      </c>
      <c r="C25" s="2">
        <v>4993</v>
      </c>
      <c r="D25" s="2">
        <v>1248323</v>
      </c>
      <c r="E25" s="5">
        <f t="shared" si="0"/>
        <v>363261.99300000002</v>
      </c>
    </row>
    <row r="26" spans="2:5" x14ac:dyDescent="0.3">
      <c r="B26" s="2" t="s">
        <v>23</v>
      </c>
      <c r="C26" s="2">
        <v>10954</v>
      </c>
      <c r="D26" s="2">
        <v>1643030</v>
      </c>
      <c r="E26" s="5">
        <f t="shared" si="0"/>
        <v>478121.73</v>
      </c>
    </row>
    <row r="27" spans="2:5" x14ac:dyDescent="0.3">
      <c r="B27" s="2" t="s">
        <v>24</v>
      </c>
      <c r="C27" s="2">
        <v>3710</v>
      </c>
      <c r="D27" s="2">
        <v>426685</v>
      </c>
      <c r="E27" s="5">
        <f t="shared" si="0"/>
        <v>124165.33500000001</v>
      </c>
    </row>
    <row r="28" spans="2:5" x14ac:dyDescent="0.3">
      <c r="B28" s="45" t="s">
        <v>25</v>
      </c>
      <c r="C28" s="45">
        <v>937500</v>
      </c>
      <c r="D28" s="45">
        <v>11249998</v>
      </c>
      <c r="E28" s="46">
        <f t="shared" si="0"/>
        <v>3273749.4180000001</v>
      </c>
    </row>
    <row r="29" spans="2:5" x14ac:dyDescent="0.3">
      <c r="B29" s="45" t="s">
        <v>26</v>
      </c>
      <c r="C29" s="45">
        <v>119465</v>
      </c>
      <c r="D29" s="45">
        <v>8362519</v>
      </c>
      <c r="E29" s="46">
        <f t="shared" si="0"/>
        <v>2433493.0290000001</v>
      </c>
    </row>
    <row r="30" spans="2:5" x14ac:dyDescent="0.3">
      <c r="B30" s="45" t="s">
        <v>27</v>
      </c>
      <c r="C30" s="45">
        <v>4293</v>
      </c>
      <c r="D30" s="45">
        <v>300475</v>
      </c>
      <c r="E30" s="46">
        <f t="shared" si="0"/>
        <v>87438.225000000006</v>
      </c>
    </row>
    <row r="31" spans="2:5" x14ac:dyDescent="0.3">
      <c r="B31" s="45" t="s">
        <v>28</v>
      </c>
      <c r="C31" s="45">
        <v>36350</v>
      </c>
      <c r="D31" s="45">
        <v>727000</v>
      </c>
      <c r="E31" s="46">
        <f t="shared" si="0"/>
        <v>211557</v>
      </c>
    </row>
    <row r="32" spans="2:5" x14ac:dyDescent="0.3">
      <c r="B32" s="45" t="s">
        <v>29</v>
      </c>
      <c r="C32" s="45">
        <v>49950</v>
      </c>
      <c r="D32" s="45">
        <v>299700</v>
      </c>
      <c r="E32" s="46">
        <f t="shared" si="0"/>
        <v>87212.7</v>
      </c>
    </row>
    <row r="33" spans="2:5" x14ac:dyDescent="0.3">
      <c r="B33" s="45" t="s">
        <v>30</v>
      </c>
      <c r="C33" s="45">
        <v>12723</v>
      </c>
      <c r="D33" s="45">
        <v>1463118</v>
      </c>
      <c r="E33" s="46">
        <f t="shared" si="0"/>
        <v>425767.33799999999</v>
      </c>
    </row>
    <row r="34" spans="2:5" x14ac:dyDescent="0.3">
      <c r="B34" s="45" t="s">
        <v>31</v>
      </c>
      <c r="C34" s="45">
        <v>15635</v>
      </c>
      <c r="D34" s="45">
        <v>1407106</v>
      </c>
      <c r="E34" s="46">
        <f t="shared" si="0"/>
        <v>409467.84600000002</v>
      </c>
    </row>
    <row r="35" spans="2:5" x14ac:dyDescent="0.3">
      <c r="B35" s="45" t="s">
        <v>32</v>
      </c>
      <c r="C35" s="45">
        <v>509895</v>
      </c>
      <c r="D35" s="45">
        <v>58637965</v>
      </c>
      <c r="E35" s="46">
        <f t="shared" si="0"/>
        <v>17063647.814999998</v>
      </c>
    </row>
    <row r="36" spans="2:5" x14ac:dyDescent="0.3">
      <c r="B36" s="45" t="s">
        <v>33</v>
      </c>
      <c r="C36" s="45">
        <v>44852</v>
      </c>
      <c r="D36" s="45">
        <v>1345550</v>
      </c>
      <c r="E36" s="46">
        <f t="shared" si="0"/>
        <v>391555.05</v>
      </c>
    </row>
    <row r="37" spans="2:5" x14ac:dyDescent="0.3">
      <c r="B37" s="45" t="s">
        <v>34</v>
      </c>
      <c r="C37" s="45">
        <v>17820</v>
      </c>
      <c r="D37" s="45">
        <v>534589</v>
      </c>
      <c r="E37" s="46">
        <f t="shared" si="0"/>
        <v>155565.399</v>
      </c>
    </row>
    <row r="38" spans="2:5" x14ac:dyDescent="0.3">
      <c r="B38" s="45" t="s">
        <v>35</v>
      </c>
      <c r="C38" s="45">
        <v>10783</v>
      </c>
      <c r="D38" s="45">
        <v>323490</v>
      </c>
      <c r="E38" s="46">
        <f t="shared" si="0"/>
        <v>94135.59</v>
      </c>
    </row>
    <row r="39" spans="2:5" x14ac:dyDescent="0.3">
      <c r="B39" s="45" t="s">
        <v>36</v>
      </c>
      <c r="C39" s="45">
        <v>79814</v>
      </c>
      <c r="D39" s="45">
        <v>798142</v>
      </c>
      <c r="E39" s="46">
        <f t="shared" si="0"/>
        <v>232259.32200000001</v>
      </c>
    </row>
    <row r="40" spans="2:5" x14ac:dyDescent="0.3">
      <c r="B40" s="45" t="s">
        <v>37</v>
      </c>
      <c r="C40" s="45">
        <v>6</v>
      </c>
      <c r="D40" s="45">
        <v>322</v>
      </c>
      <c r="E40" s="46">
        <f t="shared" si="0"/>
        <v>93.701999999999998</v>
      </c>
    </row>
    <row r="41" spans="2:5" x14ac:dyDescent="0.3">
      <c r="B41" s="45" t="s">
        <v>38</v>
      </c>
      <c r="C41" s="45">
        <v>1173</v>
      </c>
      <c r="D41" s="45">
        <v>8210</v>
      </c>
      <c r="E41" s="46">
        <f t="shared" si="0"/>
        <v>2389.11</v>
      </c>
    </row>
    <row r="42" spans="2:5" x14ac:dyDescent="0.3">
      <c r="B42" s="6" t="s">
        <v>39</v>
      </c>
      <c r="C42" s="2"/>
      <c r="D42" s="6">
        <v>295024245</v>
      </c>
      <c r="E42" s="5">
        <f>SUM(E20:E41)</f>
        <v>85852055.877000004</v>
      </c>
    </row>
    <row r="44" spans="2:5" ht="114.6" x14ac:dyDescent="0.3">
      <c r="B44" s="7" t="s">
        <v>40</v>
      </c>
    </row>
    <row r="46" spans="2:5" x14ac:dyDescent="0.3">
      <c r="B46" s="196" t="s">
        <v>186</v>
      </c>
      <c r="C46" s="196"/>
    </row>
    <row r="47" spans="2:5" x14ac:dyDescent="0.3">
      <c r="B47" s="195" t="s">
        <v>41</v>
      </c>
      <c r="C47" s="195"/>
    </row>
    <row r="48" spans="2:5" x14ac:dyDescent="0.3">
      <c r="B48" s="8" t="s">
        <v>42</v>
      </c>
      <c r="C48" s="9">
        <f>+(D42/1000)*(347-56)</f>
        <v>85852055.295000002</v>
      </c>
    </row>
  </sheetData>
  <mergeCells count="7">
    <mergeCell ref="B46:C46"/>
    <mergeCell ref="B47:C47"/>
    <mergeCell ref="A1:E1"/>
    <mergeCell ref="B3:C3"/>
    <mergeCell ref="B8:C8"/>
    <mergeCell ref="B13:C13"/>
    <mergeCell ref="B18:D18"/>
  </mergeCells>
  <pageMargins left="0.7" right="0.7" top="0.75" bottom="0.75" header="0.3" footer="0.3"/>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17C7-F140-4E5C-86AB-856019FDD461}">
  <sheetPr>
    <tabColor theme="3" tint="0.79998168889431442"/>
  </sheetPr>
  <dimension ref="A1:F55"/>
  <sheetViews>
    <sheetView zoomScaleNormal="100" workbookViewId="0">
      <selection activeCell="C16" sqref="C16"/>
    </sheetView>
  </sheetViews>
  <sheetFormatPr defaultRowHeight="14.4" x14ac:dyDescent="0.3"/>
  <cols>
    <col min="1" max="1" width="2.5546875" customWidth="1"/>
    <col min="2" max="2" width="73.44140625" bestFit="1" customWidth="1"/>
    <col min="3" max="3" width="25.88671875" customWidth="1"/>
    <col min="4" max="4" width="14.109375" customWidth="1"/>
    <col min="5" max="5" width="17.33203125" bestFit="1" customWidth="1"/>
    <col min="6" max="6" width="8.88671875" customWidth="1"/>
    <col min="7" max="7" width="7.33203125" customWidth="1"/>
  </cols>
  <sheetData>
    <row r="1" spans="1:6" x14ac:dyDescent="0.3">
      <c r="A1" s="197" t="s">
        <v>92</v>
      </c>
      <c r="B1" s="197"/>
      <c r="C1" s="197"/>
      <c r="D1" s="197"/>
      <c r="E1" s="197"/>
      <c r="F1" t="s">
        <v>238</v>
      </c>
    </row>
    <row r="2" spans="1:6" x14ac:dyDescent="0.3">
      <c r="C2" s="127" t="s">
        <v>93</v>
      </c>
      <c r="D2" s="126"/>
      <c r="E2" s="126"/>
      <c r="F2" s="126"/>
    </row>
    <row r="3" spans="1:6" ht="32.25" customHeight="1" x14ac:dyDescent="0.3">
      <c r="B3" s="198" t="s">
        <v>2</v>
      </c>
      <c r="C3" s="198"/>
    </row>
    <row r="4" spans="1:6" x14ac:dyDescent="0.3">
      <c r="B4" s="1" t="s">
        <v>3</v>
      </c>
      <c r="C4" s="1" t="s">
        <v>4</v>
      </c>
    </row>
    <row r="5" spans="1:6" x14ac:dyDescent="0.3">
      <c r="B5" s="2" t="s">
        <v>5</v>
      </c>
      <c r="C5" s="3">
        <v>129098</v>
      </c>
    </row>
    <row r="6" spans="1:6" x14ac:dyDescent="0.3">
      <c r="B6" s="2" t="s">
        <v>6</v>
      </c>
      <c r="C6" s="3">
        <v>63</v>
      </c>
    </row>
    <row r="8" spans="1:6" ht="33" customHeight="1" x14ac:dyDescent="0.3">
      <c r="B8" s="199" t="s">
        <v>7</v>
      </c>
      <c r="C8" s="199"/>
    </row>
    <row r="9" spans="1:6" x14ac:dyDescent="0.3">
      <c r="B9" s="1" t="s">
        <v>243</v>
      </c>
      <c r="C9" s="1" t="s">
        <v>242</v>
      </c>
    </row>
    <row r="10" spans="1:6" x14ac:dyDescent="0.3">
      <c r="B10" s="2" t="s">
        <v>203</v>
      </c>
      <c r="C10" s="3">
        <v>289639996</v>
      </c>
    </row>
    <row r="11" spans="1:6" x14ac:dyDescent="0.3">
      <c r="B11" s="2" t="s">
        <v>9</v>
      </c>
      <c r="C11" s="3">
        <v>911503</v>
      </c>
    </row>
    <row r="13" spans="1:6" ht="33" customHeight="1" x14ac:dyDescent="0.3">
      <c r="B13" s="199" t="s">
        <v>107</v>
      </c>
      <c r="C13" s="199"/>
    </row>
    <row r="14" spans="1:6" x14ac:dyDescent="0.3">
      <c r="B14" s="1"/>
      <c r="C14" s="1" t="s">
        <v>246</v>
      </c>
    </row>
    <row r="15" spans="1:6" x14ac:dyDescent="0.3">
      <c r="B15" s="2" t="s">
        <v>10</v>
      </c>
      <c r="C15" s="4">
        <v>106.37</v>
      </c>
    </row>
    <row r="16" spans="1:6" x14ac:dyDescent="0.3">
      <c r="B16" s="2" t="s">
        <v>11</v>
      </c>
      <c r="C16" s="4">
        <v>100.91</v>
      </c>
    </row>
    <row r="18" spans="2:5" ht="32.25" customHeight="1" x14ac:dyDescent="0.3">
      <c r="B18" s="199" t="s">
        <v>12</v>
      </c>
      <c r="C18" s="199"/>
      <c r="D18" s="199"/>
    </row>
    <row r="19" spans="2:5" x14ac:dyDescent="0.3">
      <c r="B19" s="1" t="s">
        <v>13</v>
      </c>
      <c r="C19" s="1" t="s">
        <v>14</v>
      </c>
      <c r="D19" s="1" t="s">
        <v>15</v>
      </c>
      <c r="E19" s="1" t="s">
        <v>16</v>
      </c>
    </row>
    <row r="20" spans="2:5" x14ac:dyDescent="0.3">
      <c r="B20" s="2" t="s">
        <v>17</v>
      </c>
      <c r="C20" s="2">
        <v>1532306</v>
      </c>
      <c r="D20" s="2">
        <v>183758258</v>
      </c>
      <c r="E20" s="5">
        <f>+(D20/1000)*(347-56)</f>
        <v>53473653.078000002</v>
      </c>
    </row>
    <row r="21" spans="2:5" x14ac:dyDescent="0.3">
      <c r="B21" s="2" t="s">
        <v>18</v>
      </c>
      <c r="C21" s="2">
        <v>232804</v>
      </c>
      <c r="D21" s="2">
        <v>28059833</v>
      </c>
      <c r="E21" s="5">
        <f t="shared" ref="E21:E40" si="0">+(D21/1000)*(347-56)</f>
        <v>8165411.4029999999</v>
      </c>
    </row>
    <row r="22" spans="2:5" x14ac:dyDescent="0.3">
      <c r="B22" s="2" t="s">
        <v>19</v>
      </c>
      <c r="C22" s="2">
        <v>10680</v>
      </c>
      <c r="D22" s="2">
        <v>2693246</v>
      </c>
      <c r="E22" s="5">
        <f t="shared" si="0"/>
        <v>783734.58600000001</v>
      </c>
    </row>
    <row r="23" spans="2:5" x14ac:dyDescent="0.3">
      <c r="B23" s="2" t="s">
        <v>20</v>
      </c>
      <c r="C23" s="2">
        <v>4703</v>
      </c>
      <c r="D23" s="2">
        <v>1253971</v>
      </c>
      <c r="E23" s="5">
        <f t="shared" si="0"/>
        <v>364905.56099999999</v>
      </c>
    </row>
    <row r="24" spans="2:5" x14ac:dyDescent="0.3">
      <c r="B24" s="2" t="s">
        <v>21</v>
      </c>
      <c r="C24" s="2">
        <v>15569</v>
      </c>
      <c r="D24" s="2">
        <v>2580242</v>
      </c>
      <c r="E24" s="5">
        <f t="shared" si="0"/>
        <v>750850.42200000002</v>
      </c>
    </row>
    <row r="25" spans="2:5" x14ac:dyDescent="0.3">
      <c r="B25" s="2" t="s">
        <v>22</v>
      </c>
      <c r="C25" s="2">
        <v>4962</v>
      </c>
      <c r="D25" s="2">
        <v>1240403</v>
      </c>
      <c r="E25" s="5">
        <f t="shared" si="0"/>
        <v>360957.27299999999</v>
      </c>
    </row>
    <row r="26" spans="2:5" x14ac:dyDescent="0.3">
      <c r="B26" s="2" t="s">
        <v>23</v>
      </c>
      <c r="C26" s="2">
        <v>10624</v>
      </c>
      <c r="D26" s="2">
        <v>1593658</v>
      </c>
      <c r="E26" s="5">
        <f t="shared" si="0"/>
        <v>463754.47799999994</v>
      </c>
    </row>
    <row r="27" spans="2:5" x14ac:dyDescent="0.3">
      <c r="B27" s="2" t="s">
        <v>24</v>
      </c>
      <c r="C27" s="2">
        <v>7049</v>
      </c>
      <c r="D27" s="2">
        <v>810645</v>
      </c>
      <c r="E27" s="5">
        <f t="shared" si="0"/>
        <v>235897.69500000001</v>
      </c>
    </row>
    <row r="28" spans="2:5" x14ac:dyDescent="0.3">
      <c r="B28" s="45" t="s">
        <v>25</v>
      </c>
      <c r="C28" s="45">
        <v>933109</v>
      </c>
      <c r="D28" s="45">
        <v>11197306</v>
      </c>
      <c r="E28" s="46">
        <f t="shared" si="0"/>
        <v>3258416.0460000001</v>
      </c>
    </row>
    <row r="29" spans="2:5" x14ac:dyDescent="0.3">
      <c r="B29" s="45" t="s">
        <v>26</v>
      </c>
      <c r="C29" s="45">
        <v>114024</v>
      </c>
      <c r="D29" s="45">
        <v>7981664</v>
      </c>
      <c r="E29" s="46">
        <f t="shared" si="0"/>
        <v>2322664.2239999999</v>
      </c>
    </row>
    <row r="30" spans="2:5" x14ac:dyDescent="0.3">
      <c r="B30" s="45" t="s">
        <v>27</v>
      </c>
      <c r="C30" s="45">
        <v>4322</v>
      </c>
      <c r="D30" s="45">
        <v>302531</v>
      </c>
      <c r="E30" s="46">
        <f t="shared" si="0"/>
        <v>88036.521000000008</v>
      </c>
    </row>
    <row r="31" spans="2:5" x14ac:dyDescent="0.3">
      <c r="B31" s="45" t="s">
        <v>28</v>
      </c>
      <c r="C31" s="45">
        <v>38100</v>
      </c>
      <c r="D31" s="45">
        <v>762000</v>
      </c>
      <c r="E31" s="46">
        <f t="shared" si="0"/>
        <v>221742</v>
      </c>
    </row>
    <row r="32" spans="2:5" x14ac:dyDescent="0.3">
      <c r="B32" s="45" t="s">
        <v>29</v>
      </c>
      <c r="C32" s="45">
        <v>53475</v>
      </c>
      <c r="D32" s="45">
        <v>320850</v>
      </c>
      <c r="E32" s="46">
        <f t="shared" si="0"/>
        <v>93367.35</v>
      </c>
    </row>
    <row r="33" spans="2:5" x14ac:dyDescent="0.3">
      <c r="B33" s="45" t="s">
        <v>30</v>
      </c>
      <c r="C33" s="45">
        <v>11905</v>
      </c>
      <c r="D33" s="45">
        <v>1369117</v>
      </c>
      <c r="E33" s="46">
        <f t="shared" si="0"/>
        <v>398413.04699999996</v>
      </c>
    </row>
    <row r="34" spans="2:5" x14ac:dyDescent="0.3">
      <c r="B34" s="45" t="s">
        <v>31</v>
      </c>
      <c r="C34" s="45">
        <v>15608</v>
      </c>
      <c r="D34" s="45">
        <v>1404711</v>
      </c>
      <c r="E34" s="46">
        <f t="shared" si="0"/>
        <v>408770.90100000001</v>
      </c>
    </row>
    <row r="35" spans="2:5" x14ac:dyDescent="0.3">
      <c r="B35" s="45" t="s">
        <v>32</v>
      </c>
      <c r="C35" s="45">
        <v>495078</v>
      </c>
      <c r="D35" s="45">
        <v>56933988</v>
      </c>
      <c r="E35" s="46">
        <f t="shared" si="0"/>
        <v>16567790.507999999</v>
      </c>
    </row>
    <row r="36" spans="2:5" x14ac:dyDescent="0.3">
      <c r="B36" s="45" t="s">
        <v>33</v>
      </c>
      <c r="C36" s="45">
        <v>42426</v>
      </c>
      <c r="D36" s="45">
        <v>1272793</v>
      </c>
      <c r="E36" s="46">
        <f t="shared" si="0"/>
        <v>370382.76299999998</v>
      </c>
    </row>
    <row r="37" spans="2:5" x14ac:dyDescent="0.3">
      <c r="B37" s="45" t="s">
        <v>34</v>
      </c>
      <c r="C37" s="45">
        <v>18287</v>
      </c>
      <c r="D37" s="45">
        <v>548613</v>
      </c>
      <c r="E37" s="46">
        <f t="shared" si="0"/>
        <v>159646.38300000003</v>
      </c>
    </row>
    <row r="38" spans="2:5" x14ac:dyDescent="0.3">
      <c r="B38" s="45" t="s">
        <v>35</v>
      </c>
      <c r="C38" s="45">
        <v>10729</v>
      </c>
      <c r="D38" s="45">
        <v>321859</v>
      </c>
      <c r="E38" s="46">
        <f t="shared" si="0"/>
        <v>93660.968999999997</v>
      </c>
    </row>
    <row r="39" spans="2:5" x14ac:dyDescent="0.3">
      <c r="B39" s="45" t="s">
        <v>36</v>
      </c>
      <c r="C39" s="45">
        <v>86834</v>
      </c>
      <c r="D39" s="45">
        <v>868340</v>
      </c>
      <c r="E39" s="46">
        <f t="shared" si="0"/>
        <v>252686.94</v>
      </c>
    </row>
    <row r="40" spans="2:5" x14ac:dyDescent="0.3">
      <c r="B40" s="45" t="s">
        <v>37</v>
      </c>
      <c r="C40" s="45">
        <v>7</v>
      </c>
      <c r="D40" s="45">
        <v>372</v>
      </c>
      <c r="E40" s="46">
        <f t="shared" si="0"/>
        <v>108.252</v>
      </c>
    </row>
    <row r="41" spans="2:5" x14ac:dyDescent="0.3">
      <c r="B41" s="2" t="s">
        <v>38</v>
      </c>
      <c r="C41" s="2">
        <v>1515</v>
      </c>
      <c r="D41" s="2">
        <v>10605</v>
      </c>
      <c r="E41" s="5">
        <f>+(D41/1000)*(347-56)</f>
        <v>3086.0550000000003</v>
      </c>
    </row>
    <row r="42" spans="2:5" x14ac:dyDescent="0.3">
      <c r="B42" s="38" t="s">
        <v>39</v>
      </c>
      <c r="C42" s="2"/>
      <c r="D42" s="38">
        <v>305285005</v>
      </c>
      <c r="E42" s="5">
        <f>SUM(E20:E41)</f>
        <v>88837936.454999998</v>
      </c>
    </row>
    <row r="44" spans="2:5" ht="129.6" customHeight="1" x14ac:dyDescent="0.3">
      <c r="B44" s="7" t="s">
        <v>95</v>
      </c>
      <c r="C44" s="200" t="s">
        <v>96</v>
      </c>
      <c r="D44" s="200"/>
      <c r="E44" s="200"/>
    </row>
    <row r="45" spans="2:5" ht="15.6" x14ac:dyDescent="0.3">
      <c r="B45" s="7"/>
    </row>
    <row r="46" spans="2:5" x14ac:dyDescent="0.3">
      <c r="B46" s="196" t="s">
        <v>183</v>
      </c>
      <c r="C46" s="196"/>
    </row>
    <row r="47" spans="2:5" x14ac:dyDescent="0.3">
      <c r="B47" s="195" t="s">
        <v>41</v>
      </c>
      <c r="C47" s="195"/>
    </row>
    <row r="48" spans="2:5" x14ac:dyDescent="0.3">
      <c r="B48" s="8" t="s">
        <v>42</v>
      </c>
      <c r="C48" s="9">
        <f>+(D42/1000)*(347-56)</f>
        <v>88837936.454999998</v>
      </c>
    </row>
    <row r="50" spans="2:3" x14ac:dyDescent="0.3">
      <c r="B50" s="196" t="s">
        <v>184</v>
      </c>
      <c r="C50" s="196"/>
    </row>
    <row r="51" spans="2:3" x14ac:dyDescent="0.3">
      <c r="B51" s="195" t="s">
        <v>41</v>
      </c>
      <c r="C51" s="195"/>
    </row>
    <row r="52" spans="2:3" x14ac:dyDescent="0.3">
      <c r="B52" s="8" t="s">
        <v>42</v>
      </c>
      <c r="C52" s="9">
        <f>+(D42/1000)*(372-60)</f>
        <v>95248921.560000002</v>
      </c>
    </row>
    <row r="54" spans="2:3" ht="28.8" x14ac:dyDescent="0.3">
      <c r="B54" s="48" t="s">
        <v>185</v>
      </c>
      <c r="C54" s="44">
        <f>+C52-C48</f>
        <v>6410985.1050000042</v>
      </c>
    </row>
    <row r="55" spans="2:3" x14ac:dyDescent="0.3">
      <c r="B55" s="47"/>
    </row>
  </sheetData>
  <mergeCells count="10">
    <mergeCell ref="B47:C47"/>
    <mergeCell ref="B50:C50"/>
    <mergeCell ref="B51:C51"/>
    <mergeCell ref="A1:E1"/>
    <mergeCell ref="B3:C3"/>
    <mergeCell ref="B8:C8"/>
    <mergeCell ref="B13:C13"/>
    <mergeCell ref="B18:D18"/>
    <mergeCell ref="B46:C46"/>
    <mergeCell ref="C44:E44"/>
  </mergeCells>
  <pageMargins left="0.7" right="0.7" top="0.75" bottom="0.75" header="0.3" footer="0.3"/>
  <pageSetup paperSize="9" scale="61" orientation="portrait" r:id="rId1"/>
  <colBreaks count="1" manualBreakCount="1">
    <brk id="6" min="1" max="4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8DD-7461-4D2B-AE3A-7BDA327A1189}">
  <sheetPr>
    <tabColor theme="7" tint="0.39997558519241921"/>
  </sheetPr>
  <dimension ref="A1:H31"/>
  <sheetViews>
    <sheetView zoomScaleNormal="100" workbookViewId="0">
      <selection activeCell="A2" sqref="A2"/>
    </sheetView>
  </sheetViews>
  <sheetFormatPr defaultRowHeight="14.4" x14ac:dyDescent="0.3"/>
  <cols>
    <col min="3" max="3" width="45" bestFit="1" customWidth="1"/>
    <col min="4" max="4" width="9.44140625" bestFit="1" customWidth="1"/>
    <col min="5" max="5" width="7.5546875" bestFit="1" customWidth="1"/>
    <col min="6" max="6" width="4.44140625" bestFit="1" customWidth="1"/>
    <col min="7" max="7" width="4.88671875" bestFit="1" customWidth="1"/>
    <col min="8" max="8" width="9.33203125" customWidth="1"/>
  </cols>
  <sheetData>
    <row r="1" spans="1:8" x14ac:dyDescent="0.3">
      <c r="H1" t="s">
        <v>239</v>
      </c>
    </row>
    <row r="2" spans="1:8" ht="15" thickBot="1" x14ac:dyDescent="0.35">
      <c r="A2" s="39" t="s">
        <v>249</v>
      </c>
    </row>
    <row r="3" spans="1:8" ht="63" thickBot="1" x14ac:dyDescent="0.35">
      <c r="B3" s="86" t="s">
        <v>43</v>
      </c>
      <c r="C3" s="87" t="s">
        <v>13</v>
      </c>
      <c r="D3" s="88" t="s">
        <v>112</v>
      </c>
      <c r="E3" s="88" t="s">
        <v>156</v>
      </c>
      <c r="F3" s="87" t="s">
        <v>157</v>
      </c>
      <c r="G3" s="87" t="s">
        <v>158</v>
      </c>
      <c r="H3" s="88" t="s">
        <v>159</v>
      </c>
    </row>
    <row r="4" spans="1:8" ht="31.8" thickBot="1" x14ac:dyDescent="0.35">
      <c r="B4" s="89" t="s">
        <v>54</v>
      </c>
      <c r="C4" s="90" t="s">
        <v>121</v>
      </c>
      <c r="D4" s="91" t="s">
        <v>122</v>
      </c>
      <c r="E4" s="91">
        <v>115</v>
      </c>
      <c r="F4" s="91">
        <v>72</v>
      </c>
      <c r="G4" s="91">
        <v>174</v>
      </c>
      <c r="H4" s="99">
        <v>102</v>
      </c>
    </row>
    <row r="5" spans="1:8" ht="16.2" thickBot="1" x14ac:dyDescent="0.35">
      <c r="B5" s="89" t="s">
        <v>57</v>
      </c>
      <c r="C5" s="92" t="s">
        <v>123</v>
      </c>
      <c r="D5" s="91" t="s">
        <v>122</v>
      </c>
      <c r="E5" s="91">
        <v>115</v>
      </c>
      <c r="F5" s="91">
        <v>92</v>
      </c>
      <c r="G5" s="91">
        <v>186</v>
      </c>
      <c r="H5" s="100">
        <v>124</v>
      </c>
    </row>
    <row r="6" spans="1:8" ht="16.2" thickBot="1" x14ac:dyDescent="0.35">
      <c r="B6" s="89" t="s">
        <v>59</v>
      </c>
      <c r="C6" s="92" t="s">
        <v>124</v>
      </c>
      <c r="D6" s="91" t="s">
        <v>122</v>
      </c>
      <c r="E6" s="91">
        <v>240</v>
      </c>
      <c r="F6" s="91">
        <v>266</v>
      </c>
      <c r="G6" s="91">
        <v>296</v>
      </c>
      <c r="H6" s="100">
        <v>182</v>
      </c>
    </row>
    <row r="7" spans="1:8" ht="16.2" thickBot="1" x14ac:dyDescent="0.35">
      <c r="B7" s="89" t="s">
        <v>62</v>
      </c>
      <c r="C7" s="92" t="s">
        <v>160</v>
      </c>
      <c r="D7" s="91" t="s">
        <v>122</v>
      </c>
      <c r="E7" s="91">
        <v>240</v>
      </c>
      <c r="F7" s="91">
        <v>308</v>
      </c>
      <c r="G7" s="91">
        <v>392</v>
      </c>
      <c r="H7" s="100">
        <v>342</v>
      </c>
    </row>
    <row r="8" spans="1:8" ht="16.2" thickBot="1" x14ac:dyDescent="0.35">
      <c r="B8" s="89" t="s">
        <v>68</v>
      </c>
      <c r="C8" s="92" t="s">
        <v>126</v>
      </c>
      <c r="D8" s="91" t="s">
        <v>122</v>
      </c>
      <c r="E8" s="91">
        <v>150</v>
      </c>
      <c r="F8" s="91">
        <v>250</v>
      </c>
      <c r="G8" s="91">
        <v>186</v>
      </c>
      <c r="H8" s="100">
        <v>201</v>
      </c>
    </row>
    <row r="9" spans="1:8" ht="16.2" thickBot="1" x14ac:dyDescent="0.35">
      <c r="B9" s="89" t="s">
        <v>76</v>
      </c>
      <c r="C9" s="92" t="s">
        <v>127</v>
      </c>
      <c r="D9" s="91" t="s">
        <v>122</v>
      </c>
      <c r="E9" s="91">
        <v>250</v>
      </c>
      <c r="F9" s="91">
        <v>351</v>
      </c>
      <c r="G9" s="91">
        <v>381</v>
      </c>
      <c r="H9" s="100">
        <v>366</v>
      </c>
    </row>
    <row r="10" spans="1:8" ht="16.2" thickBot="1" x14ac:dyDescent="0.35">
      <c r="B10" s="89" t="s">
        <v>80</v>
      </c>
      <c r="C10" s="92" t="s">
        <v>128</v>
      </c>
      <c r="D10" s="91" t="s">
        <v>122</v>
      </c>
      <c r="E10" s="91">
        <v>150</v>
      </c>
      <c r="F10" s="91">
        <v>224</v>
      </c>
      <c r="G10" s="91">
        <v>234</v>
      </c>
      <c r="H10" s="100">
        <v>229</v>
      </c>
    </row>
    <row r="11" spans="1:8" ht="16.2" thickBot="1" x14ac:dyDescent="0.35">
      <c r="B11" s="89" t="s">
        <v>129</v>
      </c>
      <c r="C11" s="92" t="s">
        <v>130</v>
      </c>
      <c r="D11" s="91" t="s">
        <v>122</v>
      </c>
      <c r="E11" s="91">
        <v>115</v>
      </c>
      <c r="F11" s="91">
        <v>184</v>
      </c>
      <c r="G11" s="91">
        <v>149</v>
      </c>
      <c r="H11" s="100">
        <v>190</v>
      </c>
    </row>
    <row r="12" spans="1:8" ht="31.8" thickBot="1" x14ac:dyDescent="0.35">
      <c r="B12" s="89" t="s">
        <v>131</v>
      </c>
      <c r="C12" s="90" t="s">
        <v>161</v>
      </c>
      <c r="D12" s="91" t="s">
        <v>122</v>
      </c>
      <c r="E12" s="91">
        <v>12</v>
      </c>
      <c r="F12" s="91">
        <v>56</v>
      </c>
      <c r="G12" s="91">
        <v>62</v>
      </c>
      <c r="H12" s="100">
        <v>62</v>
      </c>
    </row>
    <row r="13" spans="1:8" ht="16.2" thickBot="1" x14ac:dyDescent="0.35">
      <c r="B13" s="89" t="s">
        <v>133</v>
      </c>
      <c r="C13" s="92" t="s">
        <v>134</v>
      </c>
      <c r="D13" s="91" t="s">
        <v>122</v>
      </c>
      <c r="E13" s="91">
        <v>70</v>
      </c>
      <c r="F13" s="91">
        <v>98</v>
      </c>
      <c r="G13" s="91">
        <v>109</v>
      </c>
      <c r="H13" s="100">
        <v>103</v>
      </c>
    </row>
    <row r="14" spans="1:8" ht="16.2" thickBot="1" x14ac:dyDescent="0.35">
      <c r="B14" s="89" t="s">
        <v>135</v>
      </c>
      <c r="C14" s="92" t="s">
        <v>162</v>
      </c>
      <c r="D14" s="91" t="s">
        <v>139</v>
      </c>
      <c r="E14" s="91">
        <v>20</v>
      </c>
      <c r="F14" s="91">
        <v>22</v>
      </c>
      <c r="G14" s="91">
        <v>25</v>
      </c>
      <c r="H14" s="100">
        <v>23</v>
      </c>
    </row>
    <row r="15" spans="1:8" ht="16.2" thickBot="1" x14ac:dyDescent="0.35">
      <c r="B15" s="89" t="s">
        <v>137</v>
      </c>
      <c r="C15" s="92" t="s">
        <v>163</v>
      </c>
      <c r="D15" s="91" t="s">
        <v>139</v>
      </c>
      <c r="E15" s="91">
        <v>6</v>
      </c>
      <c r="F15" s="91">
        <v>6</v>
      </c>
      <c r="G15" s="91">
        <v>11</v>
      </c>
      <c r="H15" s="100">
        <v>8</v>
      </c>
    </row>
    <row r="16" spans="1:8" ht="16.2" thickBot="1" x14ac:dyDescent="0.35">
      <c r="B16" s="89" t="s">
        <v>140</v>
      </c>
      <c r="C16" s="92" t="s">
        <v>144</v>
      </c>
      <c r="D16" s="91" t="s">
        <v>145</v>
      </c>
      <c r="E16" s="91">
        <v>115</v>
      </c>
      <c r="F16" s="91">
        <v>26</v>
      </c>
      <c r="G16" s="91">
        <v>45</v>
      </c>
      <c r="H16" s="99">
        <v>36</v>
      </c>
    </row>
    <row r="17" spans="2:8" ht="16.2" thickBot="1" x14ac:dyDescent="0.35">
      <c r="B17" s="89" t="s">
        <v>164</v>
      </c>
      <c r="C17" s="92" t="s">
        <v>147</v>
      </c>
      <c r="D17" s="91" t="s">
        <v>145</v>
      </c>
      <c r="E17" s="91">
        <v>90</v>
      </c>
      <c r="F17" s="91">
        <v>28</v>
      </c>
      <c r="G17" s="91">
        <v>36</v>
      </c>
      <c r="H17" s="99">
        <v>32</v>
      </c>
    </row>
    <row r="18" spans="2:8" ht="16.2" thickBot="1" x14ac:dyDescent="0.35">
      <c r="B18" s="89" t="s">
        <v>165</v>
      </c>
      <c r="C18" s="92" t="s">
        <v>148</v>
      </c>
      <c r="D18" s="91" t="s">
        <v>145</v>
      </c>
      <c r="E18" s="91">
        <v>115</v>
      </c>
      <c r="F18" s="91">
        <v>31</v>
      </c>
      <c r="G18" s="93">
        <v>51</v>
      </c>
      <c r="H18" s="99">
        <v>41</v>
      </c>
    </row>
    <row r="19" spans="2:8" ht="16.2" thickBot="1" x14ac:dyDescent="0.35">
      <c r="B19" s="89" t="s">
        <v>166</v>
      </c>
      <c r="C19" s="92" t="s">
        <v>149</v>
      </c>
      <c r="D19" s="91" t="s">
        <v>145</v>
      </c>
      <c r="E19" s="91">
        <v>30</v>
      </c>
      <c r="F19" s="91">
        <v>15</v>
      </c>
      <c r="G19" s="93">
        <v>34</v>
      </c>
      <c r="H19" s="99">
        <v>25</v>
      </c>
    </row>
    <row r="20" spans="2:8" ht="16.2" thickBot="1" x14ac:dyDescent="0.35">
      <c r="B20" s="89" t="s">
        <v>167</v>
      </c>
      <c r="C20" s="92" t="s">
        <v>150</v>
      </c>
      <c r="D20" s="91" t="s">
        <v>145</v>
      </c>
      <c r="E20" s="91">
        <v>30</v>
      </c>
      <c r="F20" s="91">
        <v>14</v>
      </c>
      <c r="G20" s="93">
        <v>18</v>
      </c>
      <c r="H20" s="99">
        <v>16</v>
      </c>
    </row>
    <row r="21" spans="2:8" ht="16.2" thickBot="1" x14ac:dyDescent="0.35">
      <c r="B21" s="89" t="s">
        <v>168</v>
      </c>
      <c r="C21" s="92" t="s">
        <v>151</v>
      </c>
      <c r="D21" s="91" t="s">
        <v>145</v>
      </c>
      <c r="E21" s="91">
        <v>30</v>
      </c>
      <c r="F21" s="91">
        <v>14</v>
      </c>
      <c r="G21" s="93">
        <v>22</v>
      </c>
      <c r="H21" s="99">
        <v>18</v>
      </c>
    </row>
    <row r="22" spans="2:8" ht="16.2" thickBot="1" x14ac:dyDescent="0.35">
      <c r="B22" s="89" t="s">
        <v>169</v>
      </c>
      <c r="C22" s="92" t="s">
        <v>152</v>
      </c>
      <c r="D22" s="91" t="s">
        <v>153</v>
      </c>
      <c r="E22" s="91">
        <v>10</v>
      </c>
      <c r="F22" s="93">
        <v>7</v>
      </c>
      <c r="G22" s="93">
        <v>14</v>
      </c>
      <c r="H22" s="99">
        <v>7</v>
      </c>
    </row>
    <row r="23" spans="2:8" ht="16.2" thickBot="1" x14ac:dyDescent="0.35">
      <c r="B23" s="89" t="s">
        <v>170</v>
      </c>
      <c r="C23" s="92" t="s">
        <v>171</v>
      </c>
      <c r="D23" s="91" t="s">
        <v>122</v>
      </c>
      <c r="E23" s="91">
        <v>55</v>
      </c>
      <c r="F23" s="91">
        <v>60</v>
      </c>
      <c r="G23" s="91">
        <v>157</v>
      </c>
      <c r="H23" s="100">
        <v>60</v>
      </c>
    </row>
    <row r="24" spans="2:8" ht="16.2" thickBot="1" x14ac:dyDescent="0.35">
      <c r="B24" s="89" t="s">
        <v>172</v>
      </c>
      <c r="C24" s="92" t="s">
        <v>155</v>
      </c>
      <c r="D24" s="91" t="s">
        <v>139</v>
      </c>
      <c r="E24" s="91">
        <v>7</v>
      </c>
      <c r="F24" s="91">
        <v>9</v>
      </c>
      <c r="G24" s="91">
        <v>17</v>
      </c>
      <c r="H24" s="100">
        <v>13</v>
      </c>
    </row>
    <row r="25" spans="2:8" ht="31.8" thickBot="1" x14ac:dyDescent="0.35">
      <c r="B25" s="89" t="s">
        <v>173</v>
      </c>
      <c r="C25" s="90" t="s">
        <v>136</v>
      </c>
      <c r="D25" s="91" t="s">
        <v>122</v>
      </c>
      <c r="E25" s="91">
        <v>70</v>
      </c>
      <c r="F25" s="91">
        <v>107</v>
      </c>
      <c r="G25" s="91">
        <v>144</v>
      </c>
      <c r="H25" s="100">
        <v>125</v>
      </c>
    </row>
    <row r="26" spans="2:8" ht="16.2" thickBot="1" x14ac:dyDescent="0.35">
      <c r="B26" s="94" t="s">
        <v>174</v>
      </c>
      <c r="C26" s="95" t="s">
        <v>175</v>
      </c>
      <c r="D26" s="96" t="s">
        <v>145</v>
      </c>
      <c r="E26" s="91" t="s">
        <v>176</v>
      </c>
      <c r="F26" s="91">
        <v>33</v>
      </c>
      <c r="G26" s="96">
        <v>41</v>
      </c>
      <c r="H26" s="101">
        <v>37</v>
      </c>
    </row>
    <row r="27" spans="2:8" ht="16.2" thickBot="1" x14ac:dyDescent="0.35">
      <c r="B27" s="97" t="s">
        <v>177</v>
      </c>
      <c r="C27" s="98" t="s">
        <v>178</v>
      </c>
      <c r="D27" s="96" t="s">
        <v>122</v>
      </c>
      <c r="E27" s="91" t="s">
        <v>176</v>
      </c>
      <c r="F27" s="96">
        <v>165</v>
      </c>
      <c r="G27" s="96">
        <v>183</v>
      </c>
      <c r="H27" s="101">
        <v>183</v>
      </c>
    </row>
    <row r="29" spans="2:8" x14ac:dyDescent="0.3">
      <c r="B29" t="s">
        <v>251</v>
      </c>
    </row>
    <row r="30" spans="2:8" x14ac:dyDescent="0.3">
      <c r="B30" t="s">
        <v>252</v>
      </c>
    </row>
    <row r="31" spans="2:8" x14ac:dyDescent="0.3">
      <c r="B31" t="s">
        <v>250</v>
      </c>
    </row>
  </sheetData>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39B2-A4DF-4FB1-AC19-1A46E8E885AD}">
  <sheetPr>
    <tabColor theme="3" tint="0.79998168889431442"/>
    <pageSetUpPr fitToPage="1"/>
  </sheetPr>
  <dimension ref="A1:O60"/>
  <sheetViews>
    <sheetView tabSelected="1" zoomScale="80" zoomScaleNormal="80" workbookViewId="0">
      <selection activeCell="F22" sqref="F22"/>
    </sheetView>
  </sheetViews>
  <sheetFormatPr defaultRowHeight="14.4" x14ac:dyDescent="0.3"/>
  <cols>
    <col min="1" max="1" width="3.88671875" customWidth="1"/>
    <col min="2" max="2" width="70.6640625" customWidth="1"/>
    <col min="3" max="3" width="18" customWidth="1"/>
    <col min="4" max="4" width="13.88671875" customWidth="1"/>
    <col min="5" max="5" width="15.44140625" customWidth="1"/>
    <col min="6" max="6" width="14.5546875" customWidth="1"/>
    <col min="7" max="7" width="10.77734375" customWidth="1"/>
    <col min="8" max="8" width="12" customWidth="1"/>
    <col min="9" max="9" width="15.5546875" customWidth="1"/>
    <col min="10" max="10" width="24.33203125" customWidth="1"/>
    <col min="11" max="11" width="12.109375" customWidth="1"/>
    <col min="12" max="12" width="22.5546875" customWidth="1"/>
    <col min="13" max="13" width="30.88671875" customWidth="1"/>
    <col min="14" max="14" width="12.44140625" bestFit="1" customWidth="1"/>
    <col min="15" max="15" width="12.109375" bestFit="1" customWidth="1"/>
    <col min="16" max="19" width="9.109375" customWidth="1"/>
  </cols>
  <sheetData>
    <row r="1" spans="1:12" x14ac:dyDescent="0.3">
      <c r="A1" s="232" t="s">
        <v>264</v>
      </c>
      <c r="B1" s="232"/>
      <c r="C1" s="232"/>
      <c r="D1" s="232"/>
      <c r="E1" s="232"/>
      <c r="F1" s="129"/>
      <c r="G1" s="129"/>
      <c r="H1" s="129"/>
      <c r="I1" s="130"/>
      <c r="J1" s="130"/>
      <c r="K1" s="130"/>
      <c r="L1" s="130"/>
    </row>
    <row r="2" spans="1:12" x14ac:dyDescent="0.3">
      <c r="A2" s="130"/>
      <c r="B2" s="130"/>
      <c r="C2" s="130"/>
      <c r="D2" s="130"/>
      <c r="E2" s="131"/>
      <c r="F2" s="130"/>
      <c r="G2" s="130"/>
      <c r="H2" s="130"/>
      <c r="I2" s="130"/>
      <c r="J2" s="130"/>
      <c r="K2" s="130"/>
      <c r="L2" s="130"/>
    </row>
    <row r="3" spans="1:12" ht="32.25" hidden="1" customHeight="1" x14ac:dyDescent="0.3">
      <c r="A3" s="130"/>
      <c r="B3" s="233" t="s">
        <v>2</v>
      </c>
      <c r="C3" s="233"/>
      <c r="D3" s="130"/>
      <c r="E3" s="130"/>
      <c r="F3" s="130"/>
      <c r="G3" s="130"/>
      <c r="H3" s="130"/>
      <c r="I3" s="130"/>
      <c r="J3" s="130"/>
      <c r="K3" s="130"/>
      <c r="L3" s="130"/>
    </row>
    <row r="4" spans="1:12" hidden="1" x14ac:dyDescent="0.3">
      <c r="A4" s="130"/>
      <c r="B4" s="132" t="s">
        <v>3</v>
      </c>
      <c r="C4" s="132" t="s">
        <v>244</v>
      </c>
      <c r="D4" s="130"/>
      <c r="E4" s="130"/>
      <c r="F4" s="130"/>
      <c r="G4" s="130"/>
      <c r="H4" s="130"/>
      <c r="I4" s="130"/>
      <c r="J4" s="130"/>
      <c r="K4" s="130"/>
      <c r="L4" s="130"/>
    </row>
    <row r="5" spans="1:12" hidden="1" x14ac:dyDescent="0.3">
      <c r="A5" s="130"/>
      <c r="B5" s="133" t="s">
        <v>5</v>
      </c>
      <c r="C5" s="134">
        <v>129098</v>
      </c>
      <c r="D5" s="130"/>
      <c r="E5" s="130"/>
      <c r="F5" s="130"/>
      <c r="G5" s="130"/>
      <c r="H5" s="130"/>
      <c r="I5" s="130"/>
      <c r="J5" s="130"/>
      <c r="K5" s="130"/>
      <c r="L5" s="130"/>
    </row>
    <row r="6" spans="1:12" hidden="1" x14ac:dyDescent="0.3">
      <c r="A6" s="130"/>
      <c r="B6" s="133" t="s">
        <v>6</v>
      </c>
      <c r="C6" s="134">
        <v>63</v>
      </c>
      <c r="D6" s="130"/>
      <c r="E6" s="130"/>
      <c r="F6" s="130"/>
      <c r="G6" s="130"/>
      <c r="H6" s="130"/>
      <c r="I6" s="130"/>
      <c r="J6" s="130"/>
      <c r="K6" s="130"/>
      <c r="L6" s="130"/>
    </row>
    <row r="7" spans="1:12" hidden="1" x14ac:dyDescent="0.3">
      <c r="A7" s="130"/>
      <c r="B7" s="130"/>
      <c r="C7" s="130"/>
      <c r="D7" s="130"/>
      <c r="E7" s="130"/>
      <c r="F7" s="130"/>
      <c r="G7" s="130"/>
      <c r="H7" s="130"/>
      <c r="I7" s="130"/>
      <c r="J7" s="130"/>
      <c r="K7" s="130"/>
      <c r="L7" s="130"/>
    </row>
    <row r="8" spans="1:12" ht="33" hidden="1" customHeight="1" x14ac:dyDescent="0.3">
      <c r="A8" s="130"/>
      <c r="B8" s="234" t="s">
        <v>7</v>
      </c>
      <c r="C8" s="234"/>
      <c r="D8" s="130"/>
      <c r="E8" s="130"/>
      <c r="F8" s="130"/>
      <c r="G8" s="130"/>
      <c r="H8" s="130"/>
      <c r="I8" s="130"/>
      <c r="J8" s="130"/>
      <c r="K8" s="130"/>
      <c r="L8" s="130"/>
    </row>
    <row r="9" spans="1:12" hidden="1" x14ac:dyDescent="0.3">
      <c r="A9" s="130"/>
      <c r="B9" s="132" t="s">
        <v>243</v>
      </c>
      <c r="C9" s="132" t="s">
        <v>242</v>
      </c>
      <c r="D9" s="130"/>
      <c r="E9" s="130"/>
      <c r="F9" s="130"/>
      <c r="G9" s="130"/>
      <c r="H9" s="130"/>
      <c r="I9" s="130"/>
      <c r="J9" s="130"/>
      <c r="K9" s="130"/>
      <c r="L9" s="130"/>
    </row>
    <row r="10" spans="1:12" hidden="1" x14ac:dyDescent="0.3">
      <c r="A10" s="130"/>
      <c r="B10" s="133" t="s">
        <v>203</v>
      </c>
      <c r="C10" s="134">
        <v>289639996</v>
      </c>
      <c r="D10" s="130"/>
      <c r="E10" s="130"/>
      <c r="F10" s="130"/>
      <c r="G10" s="130"/>
      <c r="H10" s="130"/>
      <c r="I10" s="130"/>
      <c r="J10" s="130"/>
      <c r="K10" s="130"/>
      <c r="L10" s="130"/>
    </row>
    <row r="11" spans="1:12" hidden="1" x14ac:dyDescent="0.3">
      <c r="A11" s="130"/>
      <c r="B11" s="133" t="s">
        <v>9</v>
      </c>
      <c r="C11" s="134">
        <v>911503</v>
      </c>
      <c r="D11" s="130"/>
      <c r="E11" s="130"/>
      <c r="F11" s="130"/>
      <c r="G11" s="130"/>
      <c r="H11" s="130"/>
      <c r="I11" s="130"/>
      <c r="J11" s="130"/>
      <c r="K11" s="130"/>
      <c r="L11" s="130"/>
    </row>
    <row r="12" spans="1:12" hidden="1" x14ac:dyDescent="0.3">
      <c r="A12" s="130"/>
      <c r="B12" s="130"/>
      <c r="C12" s="130"/>
      <c r="D12" s="130"/>
      <c r="E12" s="130"/>
      <c r="F12" s="130"/>
      <c r="G12" s="130"/>
      <c r="H12" s="130"/>
      <c r="I12" s="130"/>
      <c r="J12" s="130"/>
      <c r="K12" s="130"/>
      <c r="L12" s="130"/>
    </row>
    <row r="13" spans="1:12" ht="33" hidden="1" customHeight="1" x14ac:dyDescent="0.3">
      <c r="A13" s="130"/>
      <c r="B13" s="234" t="s">
        <v>107</v>
      </c>
      <c r="C13" s="234"/>
      <c r="D13" s="130"/>
      <c r="E13" s="130"/>
      <c r="F13" s="130"/>
      <c r="G13" s="130"/>
      <c r="H13" s="130"/>
      <c r="I13" s="130"/>
      <c r="J13" s="130"/>
      <c r="K13" s="130"/>
      <c r="L13" s="130"/>
    </row>
    <row r="14" spans="1:12" hidden="1" x14ac:dyDescent="0.3">
      <c r="A14" s="130"/>
      <c r="B14" s="132"/>
      <c r="C14" s="132" t="s">
        <v>245</v>
      </c>
      <c r="D14" s="130"/>
      <c r="E14" s="130"/>
      <c r="F14" s="130"/>
      <c r="G14" s="130"/>
      <c r="H14" s="130"/>
      <c r="I14" s="130"/>
      <c r="J14" s="130"/>
      <c r="K14" s="130"/>
      <c r="L14" s="130"/>
    </row>
    <row r="15" spans="1:12" hidden="1" x14ac:dyDescent="0.3">
      <c r="A15" s="130"/>
      <c r="B15" s="133" t="s">
        <v>10</v>
      </c>
      <c r="C15" s="135">
        <v>106.37</v>
      </c>
      <c r="D15" s="130"/>
      <c r="E15" s="130"/>
      <c r="F15" s="130"/>
      <c r="G15" s="130"/>
      <c r="H15" s="130"/>
      <c r="I15" s="130"/>
      <c r="J15" s="130"/>
      <c r="K15" s="130"/>
      <c r="L15" s="130"/>
    </row>
    <row r="16" spans="1:12" hidden="1" x14ac:dyDescent="0.3">
      <c r="A16" s="130"/>
      <c r="B16" s="133" t="s">
        <v>11</v>
      </c>
      <c r="C16" s="135">
        <v>100.91</v>
      </c>
      <c r="D16" s="130"/>
      <c r="E16" s="130"/>
      <c r="F16" s="130"/>
      <c r="G16" s="130"/>
      <c r="H16" s="130"/>
      <c r="I16" s="130"/>
      <c r="J16" s="130"/>
      <c r="K16" s="130"/>
      <c r="L16" s="130"/>
    </row>
    <row r="17" spans="1:15" hidden="1" x14ac:dyDescent="0.3">
      <c r="A17" s="130"/>
      <c r="B17" s="130"/>
      <c r="C17" s="130"/>
      <c r="D17" s="130"/>
      <c r="E17" s="130"/>
      <c r="F17" s="130"/>
      <c r="G17" s="130"/>
      <c r="H17" s="130"/>
      <c r="I17" s="130"/>
      <c r="J17" s="130"/>
      <c r="K17" s="130"/>
      <c r="L17" s="130"/>
    </row>
    <row r="18" spans="1:15" ht="32.25" customHeight="1" thickBot="1" x14ac:dyDescent="0.35">
      <c r="A18" s="130"/>
      <c r="B18" s="235" t="s">
        <v>255</v>
      </c>
      <c r="C18" s="235"/>
      <c r="D18" s="235"/>
      <c r="E18" s="130"/>
      <c r="F18" s="130"/>
      <c r="G18" s="130"/>
      <c r="H18" s="130"/>
      <c r="I18" s="130"/>
      <c r="J18" s="130"/>
      <c r="K18" s="130"/>
      <c r="L18" s="130"/>
    </row>
    <row r="19" spans="1:15" ht="70.8" customHeight="1" x14ac:dyDescent="0.3">
      <c r="A19" s="130"/>
      <c r="B19" s="136" t="s">
        <v>13</v>
      </c>
      <c r="C19" s="136" t="s">
        <v>14</v>
      </c>
      <c r="D19" s="137" t="s">
        <v>247</v>
      </c>
      <c r="E19" s="138" t="s">
        <v>98</v>
      </c>
      <c r="F19" s="137" t="s">
        <v>248</v>
      </c>
      <c r="G19" s="139" t="s">
        <v>258</v>
      </c>
      <c r="H19" s="140" t="s">
        <v>253</v>
      </c>
      <c r="I19" s="140" t="s">
        <v>259</v>
      </c>
      <c r="J19" s="140" t="s">
        <v>257</v>
      </c>
      <c r="K19" s="140" t="s">
        <v>248</v>
      </c>
      <c r="L19" s="141" t="s">
        <v>256</v>
      </c>
      <c r="N19" s="44"/>
    </row>
    <row r="20" spans="1:15" x14ac:dyDescent="0.3">
      <c r="A20" s="130">
        <v>1</v>
      </c>
      <c r="B20" s="159" t="s">
        <v>17</v>
      </c>
      <c r="C20" s="133">
        <v>1561306</v>
      </c>
      <c r="D20" s="133">
        <v>183758258</v>
      </c>
      <c r="E20" s="162">
        <f>+(D20/1000)*(372-60)</f>
        <v>57332576.495999999</v>
      </c>
      <c r="F20" s="142">
        <f t="shared" ref="F20:F41" si="0">(E20*100)/$E$44</f>
        <v>60.192362870885205</v>
      </c>
      <c r="G20" s="143">
        <v>115</v>
      </c>
      <c r="H20" s="147">
        <v>102</v>
      </c>
      <c r="I20" s="164">
        <f t="shared" ref="I20:I41" si="1">C20*H20</f>
        <v>159253212</v>
      </c>
      <c r="J20" s="165">
        <f>(I20/1000)*(372-60)</f>
        <v>49687002.144000001</v>
      </c>
      <c r="K20" s="142">
        <f t="shared" ref="K20:K41" si="2">(J20*100)/$E$44</f>
        <v>52.16542227483464</v>
      </c>
      <c r="L20" s="167">
        <f>E20-J20</f>
        <v>7645574.3519999981</v>
      </c>
      <c r="M20" s="154"/>
      <c r="N20" s="44"/>
      <c r="O20" s="44"/>
    </row>
    <row r="21" spans="1:15" x14ac:dyDescent="0.3">
      <c r="A21" s="130">
        <v>2</v>
      </c>
      <c r="B21" s="133" t="s">
        <v>18</v>
      </c>
      <c r="C21" s="133">
        <v>232804</v>
      </c>
      <c r="D21" s="133">
        <v>28059833</v>
      </c>
      <c r="E21" s="162">
        <f t="shared" ref="E21:E41" si="3">+(D21/1000)*(372-60)</f>
        <v>8754667.8959999997</v>
      </c>
      <c r="F21" s="142">
        <f t="shared" si="0"/>
        <v>9.1913564506713996</v>
      </c>
      <c r="G21" s="143">
        <v>115</v>
      </c>
      <c r="H21" s="145">
        <v>124</v>
      </c>
      <c r="I21" s="164">
        <f t="shared" si="1"/>
        <v>28867696</v>
      </c>
      <c r="J21" s="165">
        <f t="shared" ref="J21:J41" si="4">(I21/1000)*(372-60)</f>
        <v>9006721.1520000007</v>
      </c>
      <c r="K21" s="142">
        <f t="shared" si="2"/>
        <v>9.4559822877641846</v>
      </c>
      <c r="L21" s="166">
        <f>E21-J21</f>
        <v>-252053.25600000098</v>
      </c>
      <c r="M21" s="154"/>
    </row>
    <row r="22" spans="1:15" x14ac:dyDescent="0.3">
      <c r="A22" s="130">
        <v>3</v>
      </c>
      <c r="B22" s="133" t="s">
        <v>19</v>
      </c>
      <c r="C22" s="133">
        <v>10680</v>
      </c>
      <c r="D22" s="133">
        <v>2693246</v>
      </c>
      <c r="E22" s="162">
        <f t="shared" si="3"/>
        <v>840292.75199999998</v>
      </c>
      <c r="F22" s="142">
        <f t="shared" si="0"/>
        <v>0.88220710349006515</v>
      </c>
      <c r="G22" s="143">
        <v>240</v>
      </c>
      <c r="H22" s="145">
        <v>294</v>
      </c>
      <c r="I22" s="164">
        <f t="shared" si="1"/>
        <v>3139920</v>
      </c>
      <c r="J22" s="165">
        <f t="shared" si="4"/>
        <v>979655.04</v>
      </c>
      <c r="K22" s="142">
        <f t="shared" si="2"/>
        <v>1.0285208734703495</v>
      </c>
      <c r="L22" s="166">
        <f t="shared" ref="L22:L41" si="5">E22-J22</f>
        <v>-139362.28800000006</v>
      </c>
      <c r="M22" s="154"/>
      <c r="N22" s="44"/>
    </row>
    <row r="23" spans="1:15" x14ac:dyDescent="0.3">
      <c r="A23" s="130">
        <v>4</v>
      </c>
      <c r="B23" s="133" t="s">
        <v>20</v>
      </c>
      <c r="C23" s="133">
        <v>4703</v>
      </c>
      <c r="D23" s="133">
        <v>1253971</v>
      </c>
      <c r="E23" s="162">
        <f t="shared" si="3"/>
        <v>391238.95199999999</v>
      </c>
      <c r="F23" s="142">
        <f t="shared" si="0"/>
        <v>0.41075420654872979</v>
      </c>
      <c r="G23" s="143">
        <v>240</v>
      </c>
      <c r="H23" s="145">
        <v>306</v>
      </c>
      <c r="I23" s="164">
        <f t="shared" si="1"/>
        <v>1439118</v>
      </c>
      <c r="J23" s="165">
        <f t="shared" si="4"/>
        <v>449004.81599999999</v>
      </c>
      <c r="K23" s="142">
        <f t="shared" si="2"/>
        <v>0.47140146958741069</v>
      </c>
      <c r="L23" s="166">
        <f t="shared" si="5"/>
        <v>-57765.864000000001</v>
      </c>
      <c r="M23" s="154"/>
    </row>
    <row r="24" spans="1:15" x14ac:dyDescent="0.3">
      <c r="A24" s="130">
        <v>5</v>
      </c>
      <c r="B24" s="133" t="s">
        <v>21</v>
      </c>
      <c r="C24" s="133">
        <v>15569</v>
      </c>
      <c r="D24" s="133">
        <v>2580242</v>
      </c>
      <c r="E24" s="162">
        <f t="shared" si="3"/>
        <v>805035.50400000007</v>
      </c>
      <c r="F24" s="142">
        <f t="shared" si="0"/>
        <v>0.84519120092387134</v>
      </c>
      <c r="G24" s="143">
        <v>150</v>
      </c>
      <c r="H24" s="145">
        <v>199</v>
      </c>
      <c r="I24" s="164">
        <f t="shared" si="1"/>
        <v>3098231</v>
      </c>
      <c r="J24" s="165">
        <f t="shared" si="4"/>
        <v>966648.07200000004</v>
      </c>
      <c r="K24" s="142">
        <f t="shared" si="2"/>
        <v>1.0148651094081744</v>
      </c>
      <c r="L24" s="166">
        <f t="shared" si="5"/>
        <v>-161612.56799999997</v>
      </c>
      <c r="M24" s="154"/>
    </row>
    <row r="25" spans="1:15" x14ac:dyDescent="0.3">
      <c r="A25" s="130">
        <v>6</v>
      </c>
      <c r="B25" s="133" t="s">
        <v>22</v>
      </c>
      <c r="C25" s="133">
        <v>4962</v>
      </c>
      <c r="D25" s="133">
        <v>1240403</v>
      </c>
      <c r="E25" s="162">
        <f t="shared" si="3"/>
        <v>387005.73600000003</v>
      </c>
      <c r="F25" s="142">
        <f t="shared" si="0"/>
        <v>0.40630983496880241</v>
      </c>
      <c r="G25" s="143">
        <v>250</v>
      </c>
      <c r="H25" s="145">
        <v>312</v>
      </c>
      <c r="I25" s="164">
        <f t="shared" si="1"/>
        <v>1548144</v>
      </c>
      <c r="J25" s="165">
        <f t="shared" si="4"/>
        <v>483020.92800000001</v>
      </c>
      <c r="K25" s="142">
        <f t="shared" si="2"/>
        <v>0.5071143274790062</v>
      </c>
      <c r="L25" s="166">
        <f t="shared" si="5"/>
        <v>-96015.191999999981</v>
      </c>
      <c r="M25" s="154"/>
    </row>
    <row r="26" spans="1:15" x14ac:dyDescent="0.3">
      <c r="A26" s="130">
        <v>7</v>
      </c>
      <c r="B26" s="133" t="s">
        <v>23</v>
      </c>
      <c r="C26" s="133">
        <v>10624</v>
      </c>
      <c r="D26" s="133">
        <v>1593658</v>
      </c>
      <c r="E26" s="162">
        <f t="shared" si="3"/>
        <v>497221.29599999997</v>
      </c>
      <c r="F26" s="142">
        <f t="shared" si="0"/>
        <v>0.5220230191129106</v>
      </c>
      <c r="G26" s="143">
        <v>150</v>
      </c>
      <c r="H26" s="145">
        <v>229</v>
      </c>
      <c r="I26" s="164">
        <f t="shared" si="1"/>
        <v>2432896</v>
      </c>
      <c r="J26" s="165">
        <f t="shared" si="4"/>
        <v>759063.55200000003</v>
      </c>
      <c r="K26" s="142">
        <f t="shared" si="2"/>
        <v>0.79692613792151379</v>
      </c>
      <c r="L26" s="166">
        <f t="shared" si="5"/>
        <v>-261842.25600000005</v>
      </c>
      <c r="M26" s="154"/>
    </row>
    <row r="27" spans="1:15" x14ac:dyDescent="0.3">
      <c r="A27" s="130">
        <v>8</v>
      </c>
      <c r="B27" s="133" t="s">
        <v>24</v>
      </c>
      <c r="C27" s="133">
        <v>7049</v>
      </c>
      <c r="D27" s="133">
        <v>810645</v>
      </c>
      <c r="E27" s="162">
        <f t="shared" si="3"/>
        <v>252921.24</v>
      </c>
      <c r="F27" s="142">
        <f t="shared" si="0"/>
        <v>0.26553711670181773</v>
      </c>
      <c r="G27" s="143">
        <v>115</v>
      </c>
      <c r="H27" s="145">
        <v>133</v>
      </c>
      <c r="I27" s="164">
        <f t="shared" si="1"/>
        <v>937517</v>
      </c>
      <c r="J27" s="165">
        <f t="shared" si="4"/>
        <v>292505.304</v>
      </c>
      <c r="K27" s="142">
        <f t="shared" si="2"/>
        <v>0.30709565967709423</v>
      </c>
      <c r="L27" s="166">
        <f t="shared" si="5"/>
        <v>-39584.064000000013</v>
      </c>
      <c r="M27" s="154"/>
    </row>
    <row r="28" spans="1:15" x14ac:dyDescent="0.3">
      <c r="A28" s="130">
        <v>9</v>
      </c>
      <c r="B28" s="179" t="s">
        <v>260</v>
      </c>
      <c r="C28" s="180">
        <v>933109</v>
      </c>
      <c r="D28" s="180">
        <v>11197306</v>
      </c>
      <c r="E28" s="181">
        <f t="shared" si="3"/>
        <v>3493559.4720000001</v>
      </c>
      <c r="F28" s="182">
        <f t="shared" si="0"/>
        <v>3.6678205010429519</v>
      </c>
      <c r="G28" s="183">
        <v>12</v>
      </c>
      <c r="H28" s="147">
        <v>0</v>
      </c>
      <c r="I28" s="184">
        <f t="shared" si="1"/>
        <v>0</v>
      </c>
      <c r="J28" s="185">
        <f>(I28/1000)*(372-60)</f>
        <v>0</v>
      </c>
      <c r="K28" s="142">
        <f t="shared" si="2"/>
        <v>0</v>
      </c>
      <c r="L28" s="167">
        <f t="shared" si="5"/>
        <v>3493559.4720000001</v>
      </c>
      <c r="M28" s="154"/>
    </row>
    <row r="29" spans="1:15" x14ac:dyDescent="0.3">
      <c r="A29" s="130">
        <v>10</v>
      </c>
      <c r="B29" s="133" t="s">
        <v>26</v>
      </c>
      <c r="C29" s="148">
        <v>114024</v>
      </c>
      <c r="D29" s="148">
        <v>7981664</v>
      </c>
      <c r="E29" s="162">
        <f t="shared" si="3"/>
        <v>2490279.1680000001</v>
      </c>
      <c r="F29" s="142">
        <f t="shared" si="0"/>
        <v>2.6144959199682938</v>
      </c>
      <c r="G29" s="143">
        <v>70</v>
      </c>
      <c r="H29" s="145">
        <v>102</v>
      </c>
      <c r="I29" s="164">
        <f t="shared" si="1"/>
        <v>11630448</v>
      </c>
      <c r="J29" s="165">
        <f t="shared" si="4"/>
        <v>3628699.7760000001</v>
      </c>
      <c r="K29" s="142">
        <f t="shared" si="2"/>
        <v>3.8097016917028079</v>
      </c>
      <c r="L29" s="166">
        <f t="shared" si="5"/>
        <v>-1138420.608</v>
      </c>
      <c r="M29" s="154"/>
    </row>
    <row r="30" spans="1:15" x14ac:dyDescent="0.3">
      <c r="A30" s="130">
        <v>11</v>
      </c>
      <c r="B30" s="133" t="s">
        <v>27</v>
      </c>
      <c r="C30" s="148">
        <v>4322</v>
      </c>
      <c r="D30" s="148">
        <v>302531</v>
      </c>
      <c r="E30" s="162">
        <f t="shared" si="3"/>
        <v>94389.672000000006</v>
      </c>
      <c r="F30" s="142">
        <f t="shared" si="0"/>
        <v>9.9097890510541145E-2</v>
      </c>
      <c r="G30" s="143">
        <v>70</v>
      </c>
      <c r="H30" s="145">
        <v>125</v>
      </c>
      <c r="I30" s="164">
        <f t="shared" si="1"/>
        <v>540250</v>
      </c>
      <c r="J30" s="165">
        <f t="shared" si="4"/>
        <v>168558</v>
      </c>
      <c r="K30" s="142">
        <f t="shared" si="2"/>
        <v>0.17696578317038536</v>
      </c>
      <c r="L30" s="166">
        <f t="shared" si="5"/>
        <v>-74168.327999999994</v>
      </c>
      <c r="M30" s="154"/>
    </row>
    <row r="31" spans="1:15" x14ac:dyDescent="0.3">
      <c r="A31" s="130">
        <v>12</v>
      </c>
      <c r="B31" s="159" t="s">
        <v>28</v>
      </c>
      <c r="C31" s="186">
        <v>38100</v>
      </c>
      <c r="D31" s="186">
        <v>762000</v>
      </c>
      <c r="E31" s="187">
        <f t="shared" si="3"/>
        <v>237744</v>
      </c>
      <c r="F31" s="188">
        <f t="shared" si="0"/>
        <v>0.2496028260542964</v>
      </c>
      <c r="G31" s="189">
        <v>20</v>
      </c>
      <c r="H31" s="158">
        <v>20</v>
      </c>
      <c r="I31" s="190">
        <f t="shared" si="1"/>
        <v>762000</v>
      </c>
      <c r="J31" s="191">
        <f t="shared" si="4"/>
        <v>237744</v>
      </c>
      <c r="K31" s="188">
        <f t="shared" si="2"/>
        <v>0.2496028260542964</v>
      </c>
      <c r="L31" s="192">
        <f t="shared" si="5"/>
        <v>0</v>
      </c>
      <c r="M31" s="154"/>
    </row>
    <row r="32" spans="1:15" s="128" customFormat="1" x14ac:dyDescent="0.3">
      <c r="A32" s="130">
        <v>13</v>
      </c>
      <c r="B32" s="148" t="s">
        <v>29</v>
      </c>
      <c r="C32" s="148">
        <v>53475</v>
      </c>
      <c r="D32" s="148">
        <v>320850</v>
      </c>
      <c r="E32" s="163">
        <f t="shared" si="3"/>
        <v>100105.20000000001</v>
      </c>
      <c r="F32" s="142">
        <f t="shared" si="0"/>
        <v>0.10509851278152364</v>
      </c>
      <c r="G32" s="149">
        <v>6</v>
      </c>
      <c r="H32" s="144">
        <v>8</v>
      </c>
      <c r="I32" s="168">
        <f t="shared" si="1"/>
        <v>427800</v>
      </c>
      <c r="J32" s="169">
        <f t="shared" si="4"/>
        <v>133473.60000000001</v>
      </c>
      <c r="K32" s="142">
        <f t="shared" si="2"/>
        <v>0.14013135037536484</v>
      </c>
      <c r="L32" s="170">
        <f t="shared" si="5"/>
        <v>-33368.399999999994</v>
      </c>
      <c r="M32" s="171"/>
    </row>
    <row r="33" spans="1:14" x14ac:dyDescent="0.3">
      <c r="A33" s="130">
        <v>14</v>
      </c>
      <c r="B33" s="133" t="s">
        <v>30</v>
      </c>
      <c r="C33" s="148">
        <v>11905</v>
      </c>
      <c r="D33" s="148">
        <v>1369117</v>
      </c>
      <c r="E33" s="162">
        <f t="shared" si="3"/>
        <v>427164.50400000002</v>
      </c>
      <c r="F33" s="142">
        <f t="shared" si="0"/>
        <v>0.44847174855509203</v>
      </c>
      <c r="G33" s="143">
        <v>115</v>
      </c>
      <c r="H33" s="158">
        <v>115</v>
      </c>
      <c r="I33" s="164">
        <f t="shared" si="1"/>
        <v>1369075</v>
      </c>
      <c r="J33" s="165">
        <f t="shared" si="4"/>
        <v>427151.4</v>
      </c>
      <c r="K33" s="142">
        <f t="shared" si="2"/>
        <v>0.44845799091901029</v>
      </c>
      <c r="L33" s="167">
        <f t="shared" si="5"/>
        <v>13.103999999992084</v>
      </c>
      <c r="M33" s="154"/>
    </row>
    <row r="34" spans="1:14" x14ac:dyDescent="0.3">
      <c r="A34" s="130">
        <v>15</v>
      </c>
      <c r="B34" s="159" t="s">
        <v>31</v>
      </c>
      <c r="C34" s="148">
        <v>15608</v>
      </c>
      <c r="D34" s="148">
        <v>1404711</v>
      </c>
      <c r="E34" s="162">
        <f t="shared" si="3"/>
        <v>438269.83199999999</v>
      </c>
      <c r="F34" s="142">
        <f t="shared" si="0"/>
        <v>0.46013101757159686</v>
      </c>
      <c r="G34" s="143">
        <v>90</v>
      </c>
      <c r="H34" s="158">
        <v>90</v>
      </c>
      <c r="I34" s="164">
        <f t="shared" si="1"/>
        <v>1404720</v>
      </c>
      <c r="J34" s="165">
        <f t="shared" si="4"/>
        <v>438272.64</v>
      </c>
      <c r="K34" s="142">
        <f t="shared" si="2"/>
        <v>0.46013396563647146</v>
      </c>
      <c r="L34" s="166">
        <f t="shared" si="5"/>
        <v>-2.8080000000190921</v>
      </c>
      <c r="M34" s="154"/>
    </row>
    <row r="35" spans="1:14" x14ac:dyDescent="0.3">
      <c r="A35" s="130">
        <v>16</v>
      </c>
      <c r="B35" s="133" t="s">
        <v>32</v>
      </c>
      <c r="C35" s="148">
        <v>495078</v>
      </c>
      <c r="D35" s="148">
        <v>56933988</v>
      </c>
      <c r="E35" s="162">
        <f t="shared" si="3"/>
        <v>17763404.256000001</v>
      </c>
      <c r="F35" s="142">
        <f t="shared" si="0"/>
        <v>18.649454466327295</v>
      </c>
      <c r="G35" s="143">
        <v>115</v>
      </c>
      <c r="H35" s="145">
        <v>128</v>
      </c>
      <c r="I35" s="164">
        <f t="shared" si="1"/>
        <v>63369984</v>
      </c>
      <c r="J35" s="165">
        <f t="shared" si="4"/>
        <v>19771435.007999998</v>
      </c>
      <c r="K35" s="142">
        <f t="shared" si="2"/>
        <v>20.757647104219874</v>
      </c>
      <c r="L35" s="166">
        <f t="shared" si="5"/>
        <v>-2008030.7519999966</v>
      </c>
      <c r="M35" s="154"/>
    </row>
    <row r="36" spans="1:14" x14ac:dyDescent="0.3">
      <c r="A36" s="130">
        <v>17</v>
      </c>
      <c r="B36" s="133" t="s">
        <v>33</v>
      </c>
      <c r="C36" s="148">
        <v>42426</v>
      </c>
      <c r="D36" s="148">
        <v>1272793</v>
      </c>
      <c r="E36" s="162">
        <f t="shared" si="3"/>
        <v>397111.41599999997</v>
      </c>
      <c r="F36" s="142">
        <f t="shared" si="0"/>
        <v>0.41691959288992919</v>
      </c>
      <c r="G36" s="143">
        <v>30</v>
      </c>
      <c r="H36" s="145">
        <v>39</v>
      </c>
      <c r="I36" s="164">
        <f t="shared" si="1"/>
        <v>1654614</v>
      </c>
      <c r="J36" s="165">
        <f t="shared" si="4"/>
        <v>516239.56800000003</v>
      </c>
      <c r="K36" s="142">
        <f t="shared" si="2"/>
        <v>0.54198993494619896</v>
      </c>
      <c r="L36" s="166">
        <f t="shared" si="5"/>
        <v>-119128.15200000006</v>
      </c>
      <c r="M36" s="154"/>
    </row>
    <row r="37" spans="1:14" x14ac:dyDescent="0.3">
      <c r="A37" s="130">
        <v>18</v>
      </c>
      <c r="B37" s="133" t="s">
        <v>34</v>
      </c>
      <c r="C37" s="148">
        <v>18287</v>
      </c>
      <c r="D37" s="148">
        <v>548613</v>
      </c>
      <c r="E37" s="162">
        <f t="shared" si="3"/>
        <v>171167.25600000002</v>
      </c>
      <c r="F37" s="142">
        <f t="shared" si="0"/>
        <v>0.17970519056446946</v>
      </c>
      <c r="G37" s="143">
        <v>30</v>
      </c>
      <c r="H37" s="158">
        <v>30</v>
      </c>
      <c r="I37" s="164">
        <f t="shared" si="1"/>
        <v>548610</v>
      </c>
      <c r="J37" s="165">
        <f t="shared" si="4"/>
        <v>171166.32</v>
      </c>
      <c r="K37" s="142">
        <f t="shared" si="2"/>
        <v>0.17970420787617788</v>
      </c>
      <c r="L37" s="167">
        <f t="shared" si="5"/>
        <v>0.93600000001606531</v>
      </c>
      <c r="M37" s="154"/>
    </row>
    <row r="38" spans="1:14" x14ac:dyDescent="0.3">
      <c r="A38" s="130">
        <v>19</v>
      </c>
      <c r="B38" s="133" t="s">
        <v>35</v>
      </c>
      <c r="C38" s="148">
        <v>10729</v>
      </c>
      <c r="D38" s="148">
        <v>321859</v>
      </c>
      <c r="E38" s="162">
        <f t="shared" si="3"/>
        <v>100420.00799999999</v>
      </c>
      <c r="F38" s="142">
        <f t="shared" si="0"/>
        <v>0.10542902361024906</v>
      </c>
      <c r="G38" s="143">
        <v>30</v>
      </c>
      <c r="H38" s="145">
        <v>33</v>
      </c>
      <c r="I38" s="164">
        <f t="shared" si="1"/>
        <v>354057</v>
      </c>
      <c r="J38" s="165">
        <f t="shared" si="4"/>
        <v>110465.784</v>
      </c>
      <c r="K38" s="142">
        <f t="shared" si="2"/>
        <v>0.11597588948071658</v>
      </c>
      <c r="L38" s="166">
        <f t="shared" si="5"/>
        <v>-10045.776000000013</v>
      </c>
      <c r="M38" s="154"/>
    </row>
    <row r="39" spans="1:14" x14ac:dyDescent="0.3">
      <c r="A39" s="130">
        <v>20</v>
      </c>
      <c r="B39" s="133" t="s">
        <v>36</v>
      </c>
      <c r="C39" s="148">
        <v>86834</v>
      </c>
      <c r="D39" s="148">
        <v>868340</v>
      </c>
      <c r="E39" s="162">
        <f t="shared" si="3"/>
        <v>270922.08</v>
      </c>
      <c r="F39" s="142">
        <f t="shared" si="0"/>
        <v>0.28443585036218866</v>
      </c>
      <c r="G39" s="143">
        <v>10</v>
      </c>
      <c r="H39" s="147">
        <v>7</v>
      </c>
      <c r="I39" s="164">
        <f t="shared" si="1"/>
        <v>607838</v>
      </c>
      <c r="J39" s="165">
        <f t="shared" si="4"/>
        <v>189645.45599999998</v>
      </c>
      <c r="K39" s="142">
        <f t="shared" si="2"/>
        <v>0.19910509525353204</v>
      </c>
      <c r="L39" s="167">
        <f t="shared" si="5"/>
        <v>81276.62400000004</v>
      </c>
      <c r="M39" s="154"/>
      <c r="N39" s="44"/>
    </row>
    <row r="40" spans="1:14" x14ac:dyDescent="0.3">
      <c r="A40" s="130">
        <v>21</v>
      </c>
      <c r="B40" s="133" t="s">
        <v>37</v>
      </c>
      <c r="C40" s="148">
        <v>7</v>
      </c>
      <c r="D40" s="148">
        <v>372</v>
      </c>
      <c r="E40" s="162">
        <f t="shared" si="3"/>
        <v>116.06399999999999</v>
      </c>
      <c r="F40" s="142">
        <f t="shared" si="0"/>
        <v>1.2185334815249116E-4</v>
      </c>
      <c r="G40" s="143">
        <v>55</v>
      </c>
      <c r="H40" s="145">
        <v>60</v>
      </c>
      <c r="I40" s="164">
        <f t="shared" si="1"/>
        <v>420</v>
      </c>
      <c r="J40" s="165">
        <f t="shared" si="4"/>
        <v>131.04</v>
      </c>
      <c r="K40" s="142">
        <f t="shared" si="2"/>
        <v>1.3757636081732872E-4</v>
      </c>
      <c r="L40" s="166">
        <f t="shared" si="5"/>
        <v>-14.975999999999999</v>
      </c>
      <c r="M40" s="154"/>
    </row>
    <row r="41" spans="1:14" x14ac:dyDescent="0.3">
      <c r="A41" s="130">
        <v>22</v>
      </c>
      <c r="B41" s="133" t="s">
        <v>38</v>
      </c>
      <c r="C41" s="133">
        <v>1515</v>
      </c>
      <c r="D41" s="133">
        <v>10605</v>
      </c>
      <c r="E41" s="162">
        <f t="shared" si="3"/>
        <v>3308.76</v>
      </c>
      <c r="F41" s="142">
        <f t="shared" si="0"/>
        <v>3.4738031106375505E-3</v>
      </c>
      <c r="G41" s="143">
        <v>7</v>
      </c>
      <c r="H41" s="145">
        <v>9</v>
      </c>
      <c r="I41" s="164">
        <f t="shared" si="1"/>
        <v>13635</v>
      </c>
      <c r="J41" s="165">
        <f t="shared" si="4"/>
        <v>4254.12</v>
      </c>
      <c r="K41" s="142">
        <f t="shared" si="2"/>
        <v>4.4663182851054223E-3</v>
      </c>
      <c r="L41" s="166">
        <f t="shared" si="5"/>
        <v>-945.35999999999967</v>
      </c>
      <c r="M41" s="154"/>
    </row>
    <row r="42" spans="1:14" x14ac:dyDescent="0.3">
      <c r="A42" s="130">
        <v>23</v>
      </c>
      <c r="B42" s="159" t="s">
        <v>262</v>
      </c>
      <c r="C42" s="133">
        <v>3101</v>
      </c>
      <c r="D42" s="133">
        <v>114700</v>
      </c>
      <c r="E42" s="162">
        <f>+(D42/1000)*(372-60)</f>
        <v>35786.400000000001</v>
      </c>
      <c r="F42" s="142">
        <f t="shared" ref="F42:F43" si="6">(E42*100)/$E$44</f>
        <v>3.7571449013684775E-2</v>
      </c>
      <c r="G42" s="143">
        <v>90</v>
      </c>
      <c r="H42" s="147">
        <v>86</v>
      </c>
      <c r="I42" s="164">
        <f t="shared" ref="I42" si="7">C42*H42</f>
        <v>266686</v>
      </c>
      <c r="J42" s="165">
        <f t="shared" ref="J42" si="8">(I42/1000)*(372-60)</f>
        <v>83206.031999999992</v>
      </c>
      <c r="K42" s="142">
        <f t="shared" ref="K42:K43" si="9">(J42*100)/$E$44</f>
        <v>8.7356403240309827E-2</v>
      </c>
      <c r="L42" s="166">
        <f t="shared" ref="L42:L43" si="10">E42-J42</f>
        <v>-47419.631999999991</v>
      </c>
      <c r="M42" s="154"/>
    </row>
    <row r="43" spans="1:14" x14ac:dyDescent="0.3">
      <c r="A43" s="130">
        <v>24</v>
      </c>
      <c r="B43" s="186" t="s">
        <v>263</v>
      </c>
      <c r="C43" s="148">
        <v>15000</v>
      </c>
      <c r="D43" s="148">
        <v>1725000</v>
      </c>
      <c r="E43" s="163">
        <f>+(D43/1000)*(372-60)</f>
        <v>538200</v>
      </c>
      <c r="F43" s="142">
        <f t="shared" si="6"/>
        <v>0.56504576764260017</v>
      </c>
      <c r="G43" s="149">
        <v>115</v>
      </c>
      <c r="H43" s="144">
        <v>181</v>
      </c>
      <c r="I43" s="168">
        <f>C43*H43</f>
        <v>2715000</v>
      </c>
      <c r="J43" s="169">
        <f>(I43/1000)*(372-60)</f>
        <v>847080</v>
      </c>
      <c r="K43" s="142">
        <f t="shared" si="9"/>
        <v>0.88933290385487496</v>
      </c>
      <c r="L43" s="170">
        <f t="shared" si="10"/>
        <v>-308880</v>
      </c>
      <c r="M43" s="178" t="s">
        <v>261</v>
      </c>
    </row>
    <row r="44" spans="1:14" ht="16.2" thickBot="1" x14ac:dyDescent="0.35">
      <c r="A44" s="130"/>
      <c r="B44" s="152" t="s">
        <v>39</v>
      </c>
      <c r="C44" s="133"/>
      <c r="D44" s="155">
        <v>305285005</v>
      </c>
      <c r="E44" s="162">
        <f>SUM(E20:E41)</f>
        <v>95248921.559999987</v>
      </c>
      <c r="F44" s="146">
        <f>SUM(F20:F41)</f>
        <v>100.00000000000004</v>
      </c>
      <c r="G44" s="176"/>
      <c r="H44" s="177"/>
      <c r="I44" s="172">
        <f>C44*100</f>
        <v>0</v>
      </c>
      <c r="J44" s="173">
        <f>SUM(J20:J43)</f>
        <v>89351143.752000019</v>
      </c>
      <c r="K44" s="174">
        <f>SUM(K20:K41)</f>
        <v>92.831347874423159</v>
      </c>
      <c r="L44" s="175">
        <f>E44-J44</f>
        <v>5897777.8079999685</v>
      </c>
      <c r="M44" s="160">
        <f>(L44/E44)*100</f>
        <v>6.1919628184816684</v>
      </c>
    </row>
    <row r="45" spans="1:14" x14ac:dyDescent="0.3">
      <c r="A45" s="130"/>
      <c r="B45" s="150" t="s">
        <v>254</v>
      </c>
      <c r="C45" s="130"/>
      <c r="D45" s="130"/>
      <c r="E45" s="130"/>
      <c r="F45" s="130"/>
      <c r="G45" s="130"/>
      <c r="H45" s="130"/>
      <c r="I45" s="130"/>
      <c r="J45" s="130"/>
      <c r="K45" s="130"/>
      <c r="L45" s="130"/>
      <c r="M45" s="156"/>
    </row>
    <row r="46" spans="1:14" ht="15.6" x14ac:dyDescent="0.3">
      <c r="A46" s="130"/>
      <c r="B46" s="150"/>
      <c r="C46" s="130"/>
      <c r="D46" s="130"/>
      <c r="E46" s="130"/>
      <c r="F46" s="130"/>
      <c r="G46" s="130"/>
      <c r="H46" s="130"/>
      <c r="I46" s="130"/>
      <c r="J46" s="153"/>
      <c r="K46" s="153"/>
      <c r="L46" s="161"/>
      <c r="M46" s="157"/>
    </row>
    <row r="47" spans="1:14" ht="15.6" x14ac:dyDescent="0.3">
      <c r="A47" s="130"/>
      <c r="B47" s="150"/>
      <c r="C47" s="130"/>
      <c r="D47" s="130"/>
      <c r="E47" s="130"/>
      <c r="F47" s="130"/>
      <c r="G47" s="130"/>
      <c r="H47" s="130"/>
      <c r="I47" s="130"/>
      <c r="J47" s="153"/>
      <c r="K47" s="153"/>
      <c r="L47" s="161"/>
      <c r="M47" s="157"/>
    </row>
    <row r="48" spans="1:14" ht="15.6" x14ac:dyDescent="0.3">
      <c r="A48" s="130"/>
      <c r="B48" s="150"/>
      <c r="C48" s="130"/>
      <c r="D48" s="130"/>
      <c r="E48" s="130"/>
      <c r="F48" s="130"/>
      <c r="G48" s="130"/>
      <c r="H48" s="130"/>
      <c r="I48" s="130"/>
      <c r="J48" s="153"/>
      <c r="K48" s="153"/>
      <c r="L48" s="161"/>
      <c r="M48" s="157"/>
    </row>
    <row r="49" spans="1:13" ht="15.6" x14ac:dyDescent="0.3">
      <c r="A49" s="130"/>
      <c r="B49" s="151"/>
      <c r="C49" s="151"/>
      <c r="D49" s="151"/>
      <c r="E49" s="151"/>
      <c r="F49" s="151"/>
      <c r="G49" s="151"/>
      <c r="H49" s="151"/>
      <c r="I49" s="151"/>
      <c r="J49" s="151"/>
      <c r="K49" s="151"/>
      <c r="L49" s="151"/>
      <c r="M49" s="151"/>
    </row>
    <row r="50" spans="1:13" ht="129.6" customHeight="1" x14ac:dyDescent="0.3">
      <c r="A50" s="130"/>
      <c r="B50" s="7"/>
      <c r="C50" s="7"/>
      <c r="D50" s="7"/>
      <c r="E50" s="7"/>
      <c r="F50" s="7"/>
      <c r="G50" s="7"/>
      <c r="H50" s="7"/>
      <c r="I50" s="130"/>
      <c r="J50" s="130"/>
      <c r="K50" s="130"/>
      <c r="L50" s="130"/>
    </row>
    <row r="51" spans="1:13" ht="15.6" x14ac:dyDescent="0.3">
      <c r="B51" s="7"/>
    </row>
    <row r="52" spans="1:13" ht="14.4" hidden="1" customHeight="1" x14ac:dyDescent="0.3">
      <c r="B52" s="193" t="s">
        <v>183</v>
      </c>
      <c r="C52" s="193"/>
    </row>
    <row r="53" spans="1:13" ht="14.4" hidden="1" customHeight="1" x14ac:dyDescent="0.3">
      <c r="B53" s="194" t="s">
        <v>41</v>
      </c>
      <c r="C53" s="194"/>
    </row>
    <row r="54" spans="1:13" ht="14.4" hidden="1" customHeight="1" x14ac:dyDescent="0.3">
      <c r="B54" s="8" t="s">
        <v>42</v>
      </c>
      <c r="C54" s="9">
        <f>+(D44/1000)*(347-56)</f>
        <v>88837936.454999998</v>
      </c>
    </row>
    <row r="55" spans="1:13" ht="14.4" hidden="1" customHeight="1" x14ac:dyDescent="0.3"/>
    <row r="56" spans="1:13" ht="14.4" hidden="1" customHeight="1" x14ac:dyDescent="0.3">
      <c r="B56" s="193" t="s">
        <v>184</v>
      </c>
      <c r="C56" s="193"/>
    </row>
    <row r="57" spans="1:13" ht="14.4" hidden="1" customHeight="1" x14ac:dyDescent="0.3">
      <c r="B57" s="194" t="s">
        <v>41</v>
      </c>
      <c r="C57" s="194"/>
    </row>
    <row r="58" spans="1:13" ht="14.4" hidden="1" customHeight="1" x14ac:dyDescent="0.3">
      <c r="B58" s="8" t="s">
        <v>42</v>
      </c>
      <c r="C58" s="9">
        <f>+(D44/1000)*(372-60)</f>
        <v>95248921.560000002</v>
      </c>
    </row>
    <row r="59" spans="1:13" ht="14.4" hidden="1" customHeight="1" x14ac:dyDescent="0.3"/>
    <row r="60" spans="1:13" ht="28.8" hidden="1" customHeight="1" x14ac:dyDescent="0.3">
      <c r="B60" s="48" t="s">
        <v>185</v>
      </c>
      <c r="C60" s="44">
        <f>+C58-C54</f>
        <v>6410985.1050000042</v>
      </c>
    </row>
  </sheetData>
  <mergeCells count="5">
    <mergeCell ref="A1:E1"/>
    <mergeCell ref="B3:C3"/>
    <mergeCell ref="B8:C8"/>
    <mergeCell ref="B13:C13"/>
    <mergeCell ref="B18:D18"/>
  </mergeCells>
  <pageMargins left="0.11811023622047245" right="0.11811023622047245"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F23B-5CC2-4FDB-AEAA-29D31496710C}">
  <sheetPr>
    <tabColor theme="3" tint="0.79998168889431442"/>
  </sheetPr>
  <dimension ref="A1:O48"/>
  <sheetViews>
    <sheetView topLeftCell="C1" zoomScaleNormal="100" workbookViewId="0">
      <selection activeCell="J15" sqref="J15"/>
    </sheetView>
  </sheetViews>
  <sheetFormatPr defaultRowHeight="14.4" x14ac:dyDescent="0.3"/>
  <cols>
    <col min="1" max="1" width="2.5546875" customWidth="1"/>
    <col min="2" max="2" width="71.6640625" customWidth="1"/>
    <col min="3" max="3" width="20.44140625" customWidth="1"/>
    <col min="4" max="4" width="13.88671875" customWidth="1"/>
    <col min="5" max="6" width="15.44140625" customWidth="1"/>
    <col min="7" max="7" width="11.6640625" customWidth="1"/>
    <col min="8" max="8" width="12" customWidth="1"/>
    <col min="9" max="9" width="11.109375" customWidth="1"/>
    <col min="10" max="11" width="16.6640625" customWidth="1"/>
    <col min="12" max="12" width="13.33203125" customWidth="1"/>
    <col min="14" max="14" width="12.44140625" bestFit="1" customWidth="1"/>
    <col min="15" max="15" width="12.109375" bestFit="1" customWidth="1"/>
  </cols>
  <sheetData>
    <row r="1" spans="1:9" x14ac:dyDescent="0.3">
      <c r="A1" s="197" t="s">
        <v>91</v>
      </c>
      <c r="B1" s="197"/>
      <c r="C1" s="197"/>
      <c r="D1" s="197"/>
      <c r="E1" s="197"/>
      <c r="F1" s="37"/>
      <c r="G1" s="37"/>
      <c r="H1" s="37"/>
      <c r="I1" t="s">
        <v>0</v>
      </c>
    </row>
    <row r="2" spans="1:9" x14ac:dyDescent="0.3">
      <c r="E2" s="39" t="s">
        <v>1</v>
      </c>
    </row>
    <row r="3" spans="1:9" ht="32.25" customHeight="1" x14ac:dyDescent="0.3">
      <c r="B3" s="198" t="s">
        <v>2</v>
      </c>
      <c r="C3" s="198"/>
    </row>
    <row r="4" spans="1:9" x14ac:dyDescent="0.3">
      <c r="B4" s="1" t="s">
        <v>3</v>
      </c>
      <c r="C4" s="1" t="s">
        <v>4</v>
      </c>
    </row>
    <row r="5" spans="1:9" x14ac:dyDescent="0.3">
      <c r="B5" s="2" t="s">
        <v>5</v>
      </c>
      <c r="C5" s="3">
        <v>138257</v>
      </c>
    </row>
    <row r="6" spans="1:9" x14ac:dyDescent="0.3">
      <c r="B6" s="2" t="s">
        <v>6</v>
      </c>
      <c r="C6" s="3">
        <v>65</v>
      </c>
    </row>
    <row r="8" spans="1:9" ht="33" customHeight="1" x14ac:dyDescent="0.3">
      <c r="B8" s="199" t="s">
        <v>7</v>
      </c>
      <c r="C8" s="199"/>
    </row>
    <row r="9" spans="1:9" x14ac:dyDescent="0.3">
      <c r="B9" s="1" t="s">
        <v>3</v>
      </c>
      <c r="C9" s="1" t="s">
        <v>4</v>
      </c>
    </row>
    <row r="10" spans="1:9" x14ac:dyDescent="0.3">
      <c r="B10" s="2" t="s">
        <v>8</v>
      </c>
      <c r="C10" s="3">
        <v>266203440</v>
      </c>
    </row>
    <row r="11" spans="1:9" x14ac:dyDescent="0.3">
      <c r="B11" s="2" t="s">
        <v>9</v>
      </c>
      <c r="C11" s="3">
        <v>930594</v>
      </c>
    </row>
    <row r="13" spans="1:9" ht="33" customHeight="1" x14ac:dyDescent="0.3">
      <c r="B13" s="199" t="s">
        <v>107</v>
      </c>
      <c r="C13" s="199"/>
    </row>
    <row r="14" spans="1:9" x14ac:dyDescent="0.3">
      <c r="B14" s="1" t="s">
        <v>3</v>
      </c>
      <c r="C14" s="1" t="s">
        <v>4</v>
      </c>
    </row>
    <row r="15" spans="1:9" x14ac:dyDescent="0.3">
      <c r="B15" s="2" t="s">
        <v>10</v>
      </c>
      <c r="C15" s="4">
        <v>103.44</v>
      </c>
    </row>
    <row r="16" spans="1:9" x14ac:dyDescent="0.3">
      <c r="B16" s="2" t="s">
        <v>11</v>
      </c>
      <c r="C16" s="4">
        <v>93.34</v>
      </c>
    </row>
    <row r="18" spans="2:15" ht="32.25" customHeight="1" thickBot="1" x14ac:dyDescent="0.35">
      <c r="B18" s="199" t="s">
        <v>12</v>
      </c>
      <c r="C18" s="199"/>
      <c r="D18" s="199"/>
    </row>
    <row r="19" spans="2:15" ht="56.25" customHeight="1" x14ac:dyDescent="0.3">
      <c r="B19" s="49" t="s">
        <v>13</v>
      </c>
      <c r="C19" s="49" t="s">
        <v>14</v>
      </c>
      <c r="D19" s="50" t="s">
        <v>97</v>
      </c>
      <c r="E19" s="51" t="s">
        <v>98</v>
      </c>
      <c r="F19" s="50" t="s">
        <v>99</v>
      </c>
      <c r="G19" s="52" t="s">
        <v>100</v>
      </c>
      <c r="H19" s="53" t="s">
        <v>101</v>
      </c>
      <c r="I19" s="54" t="s">
        <v>102</v>
      </c>
      <c r="J19" s="53" t="s">
        <v>103</v>
      </c>
      <c r="K19" s="53" t="s">
        <v>104</v>
      </c>
      <c r="L19" s="55" t="s">
        <v>105</v>
      </c>
      <c r="N19" s="44"/>
    </row>
    <row r="20" spans="2:15" x14ac:dyDescent="0.3">
      <c r="B20" s="2" t="s">
        <v>17</v>
      </c>
      <c r="C20" s="2">
        <v>1536240</v>
      </c>
      <c r="D20" s="2">
        <v>176667600</v>
      </c>
      <c r="E20" s="56">
        <f>+(D20/1000)*(347-56)</f>
        <v>51410271.600000001</v>
      </c>
      <c r="F20" s="57">
        <f>(E20*100)/$E$42</f>
        <v>59.882400106591916</v>
      </c>
      <c r="G20" s="58">
        <v>115</v>
      </c>
      <c r="H20" s="59">
        <v>100</v>
      </c>
      <c r="I20" s="60">
        <f t="shared" ref="I20:I41" si="0">C20*H20</f>
        <v>153624000</v>
      </c>
      <c r="J20" s="5">
        <f>(I20/1000)*(347-56)</f>
        <v>44704584</v>
      </c>
      <c r="K20" s="57">
        <f>(J20*100)/$E$42</f>
        <v>52.071652266601667</v>
      </c>
      <c r="L20" s="61">
        <f t="shared" ref="L20:L27" si="1">E20-J20</f>
        <v>6705687.6000000015</v>
      </c>
      <c r="N20" s="44"/>
      <c r="O20" s="44"/>
    </row>
    <row r="21" spans="2:15" x14ac:dyDescent="0.3">
      <c r="B21" s="2" t="s">
        <v>18</v>
      </c>
      <c r="C21" s="2">
        <v>201504</v>
      </c>
      <c r="D21" s="2">
        <v>23172926</v>
      </c>
      <c r="E21" s="56">
        <f t="shared" ref="E21:E41" si="2">+(D21/1000)*(347-56)</f>
        <v>6743321.466</v>
      </c>
      <c r="F21" s="57">
        <f t="shared" ref="F21:F41" si="3">(E21*100)/$E$42</f>
        <v>7.8545835590252349</v>
      </c>
      <c r="G21" s="58">
        <v>115</v>
      </c>
      <c r="H21" s="59">
        <v>100</v>
      </c>
      <c r="I21" s="60">
        <f t="shared" si="0"/>
        <v>20150400</v>
      </c>
      <c r="J21" s="5">
        <f t="shared" ref="J21:J35" si="4">(I21/1000)*(347-56)</f>
        <v>5863766.4000000004</v>
      </c>
      <c r="K21" s="57">
        <f t="shared" ref="K21:K41" si="5">(J21*100)/$E$42</f>
        <v>6.8300826813058517</v>
      </c>
      <c r="L21" s="61">
        <f t="shared" si="1"/>
        <v>879555.06599999964</v>
      </c>
    </row>
    <row r="22" spans="2:15" x14ac:dyDescent="0.3">
      <c r="B22" s="2" t="s">
        <v>19</v>
      </c>
      <c r="C22" s="2">
        <v>11604</v>
      </c>
      <c r="D22" s="2">
        <v>2784916</v>
      </c>
      <c r="E22" s="56">
        <f t="shared" si="2"/>
        <v>810410.5560000001</v>
      </c>
      <c r="F22" s="57">
        <f t="shared" si="3"/>
        <v>0.94396173477904011</v>
      </c>
      <c r="G22" s="58">
        <v>240</v>
      </c>
      <c r="H22" s="62">
        <v>240</v>
      </c>
      <c r="I22" s="60">
        <f t="shared" si="0"/>
        <v>2784960</v>
      </c>
      <c r="J22" s="5">
        <f>E22</f>
        <v>810410.5560000001</v>
      </c>
      <c r="K22" s="57">
        <f t="shared" si="5"/>
        <v>0.94396173477904011</v>
      </c>
      <c r="L22" s="63">
        <f t="shared" si="1"/>
        <v>0</v>
      </c>
      <c r="N22" s="44"/>
    </row>
    <row r="23" spans="2:15" x14ac:dyDescent="0.3">
      <c r="B23" s="2" t="s">
        <v>20</v>
      </c>
      <c r="C23" s="2">
        <v>4154</v>
      </c>
      <c r="D23" s="2">
        <v>996948</v>
      </c>
      <c r="E23" s="56">
        <f t="shared" si="2"/>
        <v>290111.86800000002</v>
      </c>
      <c r="F23" s="57">
        <f t="shared" si="3"/>
        <v>0.33792069978573658</v>
      </c>
      <c r="G23" s="58">
        <v>240</v>
      </c>
      <c r="H23" s="62">
        <v>240</v>
      </c>
      <c r="I23" s="60">
        <f t="shared" si="0"/>
        <v>996960</v>
      </c>
      <c r="J23" s="5">
        <f>E23</f>
        <v>290111.86800000002</v>
      </c>
      <c r="K23" s="57">
        <f t="shared" si="5"/>
        <v>0.33792069978573658</v>
      </c>
      <c r="L23" s="63">
        <f t="shared" si="1"/>
        <v>0</v>
      </c>
    </row>
    <row r="24" spans="2:15" x14ac:dyDescent="0.3">
      <c r="B24" s="2" t="s">
        <v>21</v>
      </c>
      <c r="C24" s="2">
        <v>17504</v>
      </c>
      <c r="D24" s="2">
        <v>2625635</v>
      </c>
      <c r="E24" s="56">
        <f t="shared" si="2"/>
        <v>764059.78500000003</v>
      </c>
      <c r="F24" s="57">
        <f t="shared" si="3"/>
        <v>0.88997261299678865</v>
      </c>
      <c r="G24" s="58">
        <v>150</v>
      </c>
      <c r="H24" s="59">
        <v>135</v>
      </c>
      <c r="I24" s="60">
        <f t="shared" si="0"/>
        <v>2363040</v>
      </c>
      <c r="J24" s="5">
        <f t="shared" si="4"/>
        <v>687644.64</v>
      </c>
      <c r="K24" s="57">
        <f t="shared" si="5"/>
        <v>0.80096467460859244</v>
      </c>
      <c r="L24" s="61">
        <f t="shared" si="1"/>
        <v>76415.145000000019</v>
      </c>
    </row>
    <row r="25" spans="2:15" x14ac:dyDescent="0.3">
      <c r="B25" s="2" t="s">
        <v>22</v>
      </c>
      <c r="C25" s="2">
        <v>4993</v>
      </c>
      <c r="D25" s="2">
        <v>1248323</v>
      </c>
      <c r="E25" s="56">
        <f t="shared" si="2"/>
        <v>363261.99300000002</v>
      </c>
      <c r="F25" s="57">
        <f t="shared" si="3"/>
        <v>0.42312556093059028</v>
      </c>
      <c r="G25" s="58">
        <v>250</v>
      </c>
      <c r="H25" s="62">
        <v>250</v>
      </c>
      <c r="I25" s="60">
        <f t="shared" si="0"/>
        <v>1248250</v>
      </c>
      <c r="J25" s="5">
        <f>E25</f>
        <v>363261.99300000002</v>
      </c>
      <c r="K25" s="57">
        <f t="shared" si="5"/>
        <v>0.42312556093059028</v>
      </c>
      <c r="L25" s="63">
        <f t="shared" si="1"/>
        <v>0</v>
      </c>
    </row>
    <row r="26" spans="2:15" x14ac:dyDescent="0.3">
      <c r="B26" s="2" t="s">
        <v>23</v>
      </c>
      <c r="C26" s="2">
        <v>10954</v>
      </c>
      <c r="D26" s="2">
        <v>1643030</v>
      </c>
      <c r="E26" s="56">
        <f t="shared" si="2"/>
        <v>478121.73</v>
      </c>
      <c r="F26" s="57">
        <f t="shared" si="3"/>
        <v>0.55691354751597755</v>
      </c>
      <c r="G26" s="58">
        <v>150</v>
      </c>
      <c r="H26" s="62">
        <v>150</v>
      </c>
      <c r="I26" s="60">
        <f t="shared" si="0"/>
        <v>1643100</v>
      </c>
      <c r="J26" s="5">
        <f>E26</f>
        <v>478121.73</v>
      </c>
      <c r="K26" s="57">
        <f t="shared" si="5"/>
        <v>0.55691354751597755</v>
      </c>
      <c r="L26" s="63">
        <f t="shared" si="1"/>
        <v>0</v>
      </c>
    </row>
    <row r="27" spans="2:15" x14ac:dyDescent="0.3">
      <c r="B27" s="2" t="s">
        <v>24</v>
      </c>
      <c r="C27" s="2">
        <v>3710</v>
      </c>
      <c r="D27" s="2">
        <v>426685</v>
      </c>
      <c r="E27" s="56">
        <f t="shared" si="2"/>
        <v>124165.33500000001</v>
      </c>
      <c r="F27" s="57">
        <f t="shared" si="3"/>
        <v>0.14462709568410489</v>
      </c>
      <c r="G27" s="58">
        <v>115</v>
      </c>
      <c r="H27" s="62">
        <v>115</v>
      </c>
      <c r="I27" s="60">
        <f t="shared" si="0"/>
        <v>426650</v>
      </c>
      <c r="J27" s="5">
        <f>E27</f>
        <v>124165.33500000001</v>
      </c>
      <c r="K27" s="57">
        <f t="shared" si="5"/>
        <v>0.14462709568410489</v>
      </c>
      <c r="L27" s="63">
        <f t="shared" si="1"/>
        <v>0</v>
      </c>
    </row>
    <row r="28" spans="2:15" x14ac:dyDescent="0.3">
      <c r="B28" s="2" t="s">
        <v>25</v>
      </c>
      <c r="C28" s="2">
        <v>937500</v>
      </c>
      <c r="D28" s="2">
        <v>11249998</v>
      </c>
      <c r="E28" s="56">
        <f t="shared" si="2"/>
        <v>3273749.4180000001</v>
      </c>
      <c r="F28" s="57">
        <f t="shared" si="3"/>
        <v>3.8132452211631271</v>
      </c>
      <c r="G28" s="58">
        <v>12</v>
      </c>
      <c r="H28" s="59">
        <v>0</v>
      </c>
      <c r="I28" s="60">
        <f t="shared" si="0"/>
        <v>0</v>
      </c>
      <c r="J28" s="5">
        <f t="shared" si="4"/>
        <v>0</v>
      </c>
      <c r="K28" s="57">
        <f t="shared" si="5"/>
        <v>0</v>
      </c>
      <c r="L28" s="61">
        <f>E28</f>
        <v>3273749.4180000001</v>
      </c>
    </row>
    <row r="29" spans="2:15" x14ac:dyDescent="0.3">
      <c r="B29" s="2" t="s">
        <v>26</v>
      </c>
      <c r="C29" s="2">
        <v>119465</v>
      </c>
      <c r="D29" s="2">
        <v>8362519</v>
      </c>
      <c r="E29" s="56">
        <f t="shared" si="2"/>
        <v>2433493.0290000001</v>
      </c>
      <c r="F29" s="57">
        <f t="shared" si="3"/>
        <v>2.8345192251266047</v>
      </c>
      <c r="G29" s="58">
        <v>70</v>
      </c>
      <c r="H29" s="59">
        <v>65</v>
      </c>
      <c r="I29" s="60">
        <f t="shared" si="0"/>
        <v>7765225</v>
      </c>
      <c r="J29" s="5">
        <f t="shared" si="4"/>
        <v>2259680.4750000001</v>
      </c>
      <c r="K29" s="57">
        <f t="shared" si="5"/>
        <v>2.6320633232562747</v>
      </c>
      <c r="L29" s="61">
        <f t="shared" ref="L29:L42" si="6">E29-J29</f>
        <v>173812.554</v>
      </c>
    </row>
    <row r="30" spans="2:15" x14ac:dyDescent="0.3">
      <c r="B30" s="2" t="s">
        <v>27</v>
      </c>
      <c r="C30" s="2">
        <v>4293</v>
      </c>
      <c r="D30" s="2">
        <v>300475</v>
      </c>
      <c r="E30" s="56">
        <f t="shared" si="2"/>
        <v>87438.225000000006</v>
      </c>
      <c r="F30" s="57">
        <f t="shared" si="3"/>
        <v>0.10184756102436557</v>
      </c>
      <c r="G30" s="58">
        <v>70</v>
      </c>
      <c r="H30" s="62">
        <v>70</v>
      </c>
      <c r="I30" s="60">
        <f t="shared" si="0"/>
        <v>300510</v>
      </c>
      <c r="J30" s="5">
        <f>E30</f>
        <v>87438.225000000006</v>
      </c>
      <c r="K30" s="57">
        <f t="shared" si="5"/>
        <v>0.10184756102436557</v>
      </c>
      <c r="L30" s="63">
        <f t="shared" si="6"/>
        <v>0</v>
      </c>
    </row>
    <row r="31" spans="2:15" x14ac:dyDescent="0.3">
      <c r="B31" s="2" t="s">
        <v>28</v>
      </c>
      <c r="C31" s="2">
        <v>36350</v>
      </c>
      <c r="D31" s="2">
        <v>727000</v>
      </c>
      <c r="E31" s="56">
        <f t="shared" si="2"/>
        <v>211557</v>
      </c>
      <c r="F31" s="57">
        <f t="shared" si="3"/>
        <v>0.24642042387790586</v>
      </c>
      <c r="G31" s="58">
        <v>20</v>
      </c>
      <c r="H31" s="59">
        <v>15</v>
      </c>
      <c r="I31" s="60">
        <f t="shared" si="0"/>
        <v>545250</v>
      </c>
      <c r="J31" s="5">
        <f t="shared" si="4"/>
        <v>158667.75</v>
      </c>
      <c r="K31" s="57">
        <f t="shared" si="5"/>
        <v>0.18481531790842939</v>
      </c>
      <c r="L31" s="61">
        <f t="shared" si="6"/>
        <v>52889.25</v>
      </c>
    </row>
    <row r="32" spans="2:15" x14ac:dyDescent="0.3">
      <c r="B32" s="2" t="s">
        <v>29</v>
      </c>
      <c r="C32" s="2">
        <v>49950</v>
      </c>
      <c r="D32" s="2">
        <v>299700</v>
      </c>
      <c r="E32" s="56">
        <f t="shared" si="2"/>
        <v>87212.7</v>
      </c>
      <c r="F32" s="57">
        <f t="shared" si="3"/>
        <v>0.10158487075131828</v>
      </c>
      <c r="G32" s="58">
        <v>6</v>
      </c>
      <c r="H32" s="62">
        <v>6</v>
      </c>
      <c r="I32" s="60">
        <f t="shared" si="0"/>
        <v>299700</v>
      </c>
      <c r="J32" s="5">
        <f t="shared" si="4"/>
        <v>87212.7</v>
      </c>
      <c r="K32" s="57">
        <f t="shared" si="5"/>
        <v>0.10158487075131828</v>
      </c>
      <c r="L32" s="63">
        <f t="shared" si="6"/>
        <v>0</v>
      </c>
    </row>
    <row r="33" spans="2:14" x14ac:dyDescent="0.3">
      <c r="B33" s="2" t="s">
        <v>30</v>
      </c>
      <c r="C33" s="2">
        <v>12723</v>
      </c>
      <c r="D33" s="2">
        <v>1463118</v>
      </c>
      <c r="E33" s="56">
        <f t="shared" si="2"/>
        <v>425767.33799999999</v>
      </c>
      <c r="F33" s="57">
        <f t="shared" si="3"/>
        <v>0.4959314411876119</v>
      </c>
      <c r="G33" s="58">
        <v>115</v>
      </c>
      <c r="H33" s="62">
        <v>115</v>
      </c>
      <c r="I33" s="60">
        <f t="shared" si="0"/>
        <v>1463145</v>
      </c>
      <c r="J33" s="5">
        <f>E33</f>
        <v>425767.33799999999</v>
      </c>
      <c r="K33" s="57">
        <f t="shared" si="5"/>
        <v>0.4959314411876119</v>
      </c>
      <c r="L33" s="63">
        <f t="shared" si="6"/>
        <v>0</v>
      </c>
    </row>
    <row r="34" spans="2:14" x14ac:dyDescent="0.3">
      <c r="B34" s="2" t="s">
        <v>31</v>
      </c>
      <c r="C34" s="2">
        <v>15635</v>
      </c>
      <c r="D34" s="2">
        <v>1407106</v>
      </c>
      <c r="E34" s="56">
        <f t="shared" si="2"/>
        <v>409467.84600000002</v>
      </c>
      <c r="F34" s="57">
        <f t="shared" si="3"/>
        <v>0.47694588302770924</v>
      </c>
      <c r="G34" s="58">
        <v>90</v>
      </c>
      <c r="H34" s="62">
        <v>90</v>
      </c>
      <c r="I34" s="60">
        <f t="shared" si="0"/>
        <v>1407150</v>
      </c>
      <c r="J34" s="5">
        <f>E34</f>
        <v>409467.84600000002</v>
      </c>
      <c r="K34" s="57">
        <f>(J34*100)/$E$42</f>
        <v>0.47694588302770924</v>
      </c>
      <c r="L34" s="63">
        <f t="shared" si="6"/>
        <v>0</v>
      </c>
    </row>
    <row r="35" spans="2:14" x14ac:dyDescent="0.3">
      <c r="B35" s="2" t="s">
        <v>32</v>
      </c>
      <c r="C35" s="2">
        <v>509895</v>
      </c>
      <c r="D35" s="2">
        <v>58637965</v>
      </c>
      <c r="E35" s="56">
        <f t="shared" si="2"/>
        <v>17063647.814999998</v>
      </c>
      <c r="F35" s="57">
        <f t="shared" si="3"/>
        <v>19.875642628112526</v>
      </c>
      <c r="G35" s="58">
        <v>115</v>
      </c>
      <c r="H35" s="64">
        <v>128</v>
      </c>
      <c r="I35" s="60">
        <f t="shared" si="0"/>
        <v>65266560</v>
      </c>
      <c r="J35" s="5">
        <f t="shared" si="4"/>
        <v>18992568.960000001</v>
      </c>
      <c r="K35" s="57">
        <f t="shared" si="5"/>
        <v>22.122439312589787</v>
      </c>
      <c r="L35" s="65">
        <f t="shared" si="6"/>
        <v>-1928921.1450000033</v>
      </c>
    </row>
    <row r="36" spans="2:14" x14ac:dyDescent="0.3">
      <c r="B36" s="2" t="s">
        <v>33</v>
      </c>
      <c r="C36" s="2">
        <v>44852</v>
      </c>
      <c r="D36" s="2">
        <v>1345550</v>
      </c>
      <c r="E36" s="56">
        <f t="shared" si="2"/>
        <v>391555.05</v>
      </c>
      <c r="F36" s="57">
        <f t="shared" si="3"/>
        <v>0.4560811572887431</v>
      </c>
      <c r="G36" s="58">
        <v>30</v>
      </c>
      <c r="H36" s="62">
        <v>30</v>
      </c>
      <c r="I36" s="60">
        <f t="shared" si="0"/>
        <v>1345560</v>
      </c>
      <c r="J36" s="5">
        <f t="shared" ref="J36:J41" si="7">E36</f>
        <v>391555.05</v>
      </c>
      <c r="K36" s="57">
        <f t="shared" si="5"/>
        <v>0.4560811572887431</v>
      </c>
      <c r="L36" s="63">
        <f t="shared" si="6"/>
        <v>0</v>
      </c>
    </row>
    <row r="37" spans="2:14" x14ac:dyDescent="0.3">
      <c r="B37" s="2" t="s">
        <v>34</v>
      </c>
      <c r="C37" s="2">
        <v>17820</v>
      </c>
      <c r="D37" s="2">
        <v>534589</v>
      </c>
      <c r="E37" s="56">
        <f t="shared" si="2"/>
        <v>155565.399</v>
      </c>
      <c r="F37" s="57">
        <f t="shared" si="3"/>
        <v>0.18120171661687182</v>
      </c>
      <c r="G37" s="58">
        <v>30</v>
      </c>
      <c r="H37" s="62">
        <v>30</v>
      </c>
      <c r="I37" s="60">
        <f t="shared" si="0"/>
        <v>534600</v>
      </c>
      <c r="J37" s="5">
        <f t="shared" si="7"/>
        <v>155565.399</v>
      </c>
      <c r="K37" s="57">
        <f t="shared" si="5"/>
        <v>0.18120171661687182</v>
      </c>
      <c r="L37" s="63">
        <f t="shared" si="6"/>
        <v>0</v>
      </c>
    </row>
    <row r="38" spans="2:14" x14ac:dyDescent="0.3">
      <c r="B38" s="2" t="s">
        <v>35</v>
      </c>
      <c r="C38" s="2">
        <v>10783</v>
      </c>
      <c r="D38" s="2">
        <v>323490</v>
      </c>
      <c r="E38" s="56">
        <f t="shared" si="2"/>
        <v>94135.59</v>
      </c>
      <c r="F38" s="57">
        <f t="shared" si="3"/>
        <v>0.10964861474589239</v>
      </c>
      <c r="G38" s="58">
        <v>30</v>
      </c>
      <c r="H38" s="62">
        <v>30</v>
      </c>
      <c r="I38" s="60">
        <f t="shared" si="0"/>
        <v>323490</v>
      </c>
      <c r="J38" s="5">
        <f t="shared" si="7"/>
        <v>94135.59</v>
      </c>
      <c r="K38" s="57">
        <f t="shared" si="5"/>
        <v>0.10964861474589239</v>
      </c>
      <c r="L38" s="63">
        <f t="shared" si="6"/>
        <v>0</v>
      </c>
    </row>
    <row r="39" spans="2:14" x14ac:dyDescent="0.3">
      <c r="B39" s="2" t="s">
        <v>36</v>
      </c>
      <c r="C39" s="2">
        <v>79814</v>
      </c>
      <c r="D39" s="2">
        <v>798142</v>
      </c>
      <c r="E39" s="56">
        <f t="shared" si="2"/>
        <v>232259.32200000001</v>
      </c>
      <c r="F39" s="57">
        <f t="shared" si="3"/>
        <v>0.27053437407807368</v>
      </c>
      <c r="G39" s="58">
        <v>10</v>
      </c>
      <c r="H39" s="62">
        <v>10</v>
      </c>
      <c r="I39" s="60">
        <f t="shared" si="0"/>
        <v>798140</v>
      </c>
      <c r="J39" s="5">
        <f t="shared" si="7"/>
        <v>232259.32200000001</v>
      </c>
      <c r="K39" s="57">
        <f t="shared" si="5"/>
        <v>0.27053437407807368</v>
      </c>
      <c r="L39" s="63">
        <f t="shared" si="6"/>
        <v>0</v>
      </c>
      <c r="N39" s="44"/>
    </row>
    <row r="40" spans="2:14" x14ac:dyDescent="0.3">
      <c r="B40" s="2" t="s">
        <v>37</v>
      </c>
      <c r="C40" s="2">
        <v>6</v>
      </c>
      <c r="D40" s="2">
        <v>322</v>
      </c>
      <c r="E40" s="56">
        <f t="shared" si="2"/>
        <v>93.701999999999998</v>
      </c>
      <c r="F40" s="57">
        <f t="shared" si="3"/>
        <v>1.0914357151125955E-4</v>
      </c>
      <c r="G40" s="58">
        <v>55</v>
      </c>
      <c r="H40" s="62">
        <v>55</v>
      </c>
      <c r="I40" s="60">
        <f t="shared" si="0"/>
        <v>330</v>
      </c>
      <c r="J40" s="5">
        <f t="shared" si="7"/>
        <v>93.701999999999998</v>
      </c>
      <c r="K40" s="57">
        <f t="shared" si="5"/>
        <v>1.0914357151125955E-4</v>
      </c>
      <c r="L40" s="63">
        <f t="shared" si="6"/>
        <v>0</v>
      </c>
    </row>
    <row r="41" spans="2:14" x14ac:dyDescent="0.3">
      <c r="B41" s="2" t="s">
        <v>38</v>
      </c>
      <c r="C41" s="2">
        <v>1173</v>
      </c>
      <c r="D41" s="2">
        <v>8210</v>
      </c>
      <c r="E41" s="56">
        <f t="shared" si="2"/>
        <v>2389.11</v>
      </c>
      <c r="F41" s="57">
        <f t="shared" si="3"/>
        <v>2.7828221183460898E-3</v>
      </c>
      <c r="G41" s="58">
        <v>7</v>
      </c>
      <c r="H41" s="62">
        <v>7</v>
      </c>
      <c r="I41" s="60">
        <f t="shared" si="0"/>
        <v>8211</v>
      </c>
      <c r="J41" s="5">
        <f t="shared" si="7"/>
        <v>2389.11</v>
      </c>
      <c r="K41" s="57">
        <f t="shared" si="5"/>
        <v>2.7828221183460898E-3</v>
      </c>
      <c r="L41" s="63">
        <f t="shared" si="6"/>
        <v>0</v>
      </c>
    </row>
    <row r="42" spans="2:14" ht="15" thickBot="1" x14ac:dyDescent="0.35">
      <c r="B42" s="38" t="s">
        <v>39</v>
      </c>
      <c r="C42" s="2"/>
      <c r="D42" s="38">
        <v>295024245</v>
      </c>
      <c r="E42" s="56">
        <f>SUM(E20:E41)</f>
        <v>85852055.877000004</v>
      </c>
      <c r="F42" s="66">
        <f>SUM(F20:F41)</f>
        <v>99.999999999999986</v>
      </c>
      <c r="G42" s="67"/>
      <c r="H42" s="68"/>
      <c r="I42" s="69">
        <f t="shared" ref="I42" si="8">C42*100</f>
        <v>0</v>
      </c>
      <c r="J42" s="70">
        <f>SUM(J20:J41)</f>
        <v>76618867.989000022</v>
      </c>
      <c r="K42" s="71">
        <f>SUM(K20:K41)</f>
        <v>89.245233799376493</v>
      </c>
      <c r="L42" s="72">
        <f t="shared" si="6"/>
        <v>9233187.8879999816</v>
      </c>
    </row>
    <row r="44" spans="2:14" ht="128.4" x14ac:dyDescent="0.3">
      <c r="B44" s="7" t="s">
        <v>190</v>
      </c>
    </row>
    <row r="46" spans="2:14" x14ac:dyDescent="0.3">
      <c r="B46" s="196" t="s">
        <v>186</v>
      </c>
      <c r="C46" s="196"/>
    </row>
    <row r="47" spans="2:14" x14ac:dyDescent="0.3">
      <c r="B47" s="195" t="s">
        <v>41</v>
      </c>
      <c r="C47" s="195"/>
    </row>
    <row r="48" spans="2:14" x14ac:dyDescent="0.3">
      <c r="B48" s="8" t="s">
        <v>42</v>
      </c>
      <c r="C48" s="9">
        <f>+(D42/1000)*(347-56)</f>
        <v>85852055.295000002</v>
      </c>
    </row>
  </sheetData>
  <mergeCells count="7">
    <mergeCell ref="B47:C47"/>
    <mergeCell ref="A1:E1"/>
    <mergeCell ref="B3:C3"/>
    <mergeCell ref="B8:C8"/>
    <mergeCell ref="B13:C13"/>
    <mergeCell ref="B18:D18"/>
    <mergeCell ref="B46:C46"/>
  </mergeCells>
  <pageMargins left="0.11811023622047245" right="0.11811023622047245" top="0.74803149606299213" bottom="0.74803149606299213" header="0.31496062992125984" footer="0.31496062992125984"/>
  <pageSetup paperSize="9" scale="6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39BED-E786-481D-8E62-6C5E9CA77CEA}">
  <sheetPr>
    <tabColor theme="5" tint="0.39997558519241921"/>
  </sheetPr>
  <dimension ref="A1:K30"/>
  <sheetViews>
    <sheetView topLeftCell="C1" zoomScaleNormal="100" workbookViewId="0">
      <selection activeCell="M3" sqref="M3"/>
    </sheetView>
  </sheetViews>
  <sheetFormatPr defaultColWidth="9.109375" defaultRowHeight="15.6" x14ac:dyDescent="0.3"/>
  <cols>
    <col min="1" max="1" width="4.6640625" style="10" customWidth="1"/>
    <col min="2" max="2" width="47.33203125" style="10" customWidth="1"/>
    <col min="3" max="3" width="9.6640625" style="10" customWidth="1"/>
    <col min="4" max="11" width="16.33203125" style="10" customWidth="1"/>
    <col min="12" max="16384" width="9.109375" style="10"/>
  </cols>
  <sheetData>
    <row r="1" spans="1:11" x14ac:dyDescent="0.3">
      <c r="K1" s="11" t="s">
        <v>94</v>
      </c>
    </row>
    <row r="2" spans="1:11" x14ac:dyDescent="0.3">
      <c r="E2" s="39" t="s">
        <v>87</v>
      </c>
      <c r="K2" s="11"/>
    </row>
    <row r="3" spans="1:11" ht="17.399999999999999" x14ac:dyDescent="0.3">
      <c r="A3" s="202" t="s">
        <v>182</v>
      </c>
      <c r="B3" s="202"/>
      <c r="C3" s="202"/>
      <c r="D3" s="202"/>
      <c r="E3" s="202"/>
      <c r="F3" s="202"/>
      <c r="G3" s="202"/>
      <c r="H3" s="202"/>
      <c r="I3" s="202"/>
      <c r="J3" s="202"/>
      <c r="K3" s="202"/>
    </row>
    <row r="4" spans="1:11" x14ac:dyDescent="0.3">
      <c r="A4" s="12"/>
      <c r="B4" s="12"/>
      <c r="C4" s="12"/>
      <c r="D4" s="12"/>
      <c r="E4" s="12"/>
      <c r="F4" s="12"/>
      <c r="G4" s="12"/>
      <c r="H4" s="12"/>
      <c r="I4" s="12"/>
      <c r="J4" s="12"/>
      <c r="K4" s="12"/>
    </row>
    <row r="5" spans="1:11" x14ac:dyDescent="0.3">
      <c r="A5" s="203" t="s">
        <v>43</v>
      </c>
      <c r="B5" s="205" t="s">
        <v>44</v>
      </c>
      <c r="C5" s="207" t="s">
        <v>45</v>
      </c>
      <c r="D5" s="208" t="s">
        <v>46</v>
      </c>
      <c r="E5" s="208"/>
      <c r="F5" s="208"/>
      <c r="G5" s="208"/>
      <c r="H5" s="208"/>
      <c r="I5" s="208"/>
      <c r="J5" s="208"/>
      <c r="K5" s="208"/>
    </row>
    <row r="6" spans="1:11" ht="31.2" x14ac:dyDescent="0.3">
      <c r="A6" s="204"/>
      <c r="B6" s="206"/>
      <c r="C6" s="207"/>
      <c r="D6" s="13" t="s">
        <v>47</v>
      </c>
      <c r="E6" s="13" t="s">
        <v>48</v>
      </c>
      <c r="F6" s="13" t="s">
        <v>49</v>
      </c>
      <c r="G6" s="13" t="s">
        <v>50</v>
      </c>
      <c r="H6" s="13" t="s">
        <v>51</v>
      </c>
      <c r="I6" s="13" t="s">
        <v>52</v>
      </c>
      <c r="J6" s="13" t="s">
        <v>53</v>
      </c>
      <c r="K6" s="13" t="s">
        <v>88</v>
      </c>
    </row>
    <row r="7" spans="1:11" ht="62.4" x14ac:dyDescent="0.3">
      <c r="A7" s="14" t="s">
        <v>54</v>
      </c>
      <c r="B7" s="15" t="s">
        <v>55</v>
      </c>
      <c r="C7" s="16" t="s">
        <v>56</v>
      </c>
      <c r="D7" s="17"/>
      <c r="E7" s="17"/>
      <c r="F7" s="17"/>
      <c r="G7" s="17"/>
      <c r="H7" s="17">
        <v>142063</v>
      </c>
      <c r="I7" s="17">
        <v>134734</v>
      </c>
      <c r="J7" s="17">
        <v>131341</v>
      </c>
      <c r="K7" s="40">
        <v>127334</v>
      </c>
    </row>
    <row r="8" spans="1:11" ht="51" customHeight="1" x14ac:dyDescent="0.3">
      <c r="A8" s="14" t="s">
        <v>57</v>
      </c>
      <c r="B8" s="15" t="s">
        <v>58</v>
      </c>
      <c r="C8" s="16" t="s">
        <v>56</v>
      </c>
      <c r="D8" s="17">
        <v>67875</v>
      </c>
      <c r="E8" s="17">
        <v>68901</v>
      </c>
      <c r="F8" s="17">
        <v>70264</v>
      </c>
      <c r="G8" s="17">
        <v>84732</v>
      </c>
      <c r="H8" s="17"/>
      <c r="I8" s="17"/>
      <c r="J8" s="17"/>
      <c r="K8" s="17"/>
    </row>
    <row r="9" spans="1:11" ht="60" customHeight="1" x14ac:dyDescent="0.3">
      <c r="A9" s="14" t="s">
        <v>59</v>
      </c>
      <c r="B9" s="15" t="s">
        <v>60</v>
      </c>
      <c r="C9" s="18" t="s">
        <v>61</v>
      </c>
      <c r="D9" s="19">
        <v>252476052.59499809</v>
      </c>
      <c r="E9" s="19">
        <v>261431769.99700037</v>
      </c>
      <c r="F9" s="19">
        <v>274055209.61900014</v>
      </c>
      <c r="G9" s="19">
        <v>279845440.53199977</v>
      </c>
      <c r="H9" s="19">
        <v>299436902.65589893</v>
      </c>
      <c r="I9" s="19">
        <v>296312611.21020055</v>
      </c>
      <c r="J9" s="19">
        <v>313940519.19120038</v>
      </c>
      <c r="K9" s="41">
        <v>298168753</v>
      </c>
    </row>
    <row r="10" spans="1:11" ht="37.5" customHeight="1" x14ac:dyDescent="0.3">
      <c r="A10" s="14" t="s">
        <v>62</v>
      </c>
      <c r="B10" s="20" t="s">
        <v>63</v>
      </c>
      <c r="C10" s="18" t="s">
        <v>61</v>
      </c>
      <c r="D10" s="19">
        <v>247058720.22658193</v>
      </c>
      <c r="E10" s="19">
        <v>255347166.19840002</v>
      </c>
      <c r="F10" s="19">
        <v>267929266.14989009</v>
      </c>
      <c r="G10" s="19">
        <v>273240635.2555902</v>
      </c>
      <c r="H10" s="19">
        <v>284087386.25000066</v>
      </c>
      <c r="I10" s="19">
        <v>264007583.45099908</v>
      </c>
      <c r="J10" s="19">
        <v>292636346.00099975</v>
      </c>
      <c r="K10" s="41">
        <v>234599611</v>
      </c>
    </row>
    <row r="11" spans="1:11" ht="37.5" customHeight="1" x14ac:dyDescent="0.3">
      <c r="A11" s="21" t="s">
        <v>180</v>
      </c>
      <c r="B11" s="22" t="s">
        <v>64</v>
      </c>
      <c r="C11" s="23" t="s">
        <v>65</v>
      </c>
      <c r="D11" s="24">
        <f>+D10/D9</f>
        <v>0.97854318335249713</v>
      </c>
      <c r="E11" s="24">
        <f t="shared" ref="E11:K11" si="0">+E10/E9</f>
        <v>0.97672584399872231</v>
      </c>
      <c r="F11" s="24">
        <f>+F10/F9</f>
        <v>0.97764704609109054</v>
      </c>
      <c r="G11" s="24">
        <f t="shared" si="0"/>
        <v>0.97639838167863835</v>
      </c>
      <c r="H11" s="24">
        <f t="shared" si="0"/>
        <v>0.94873872836062112</v>
      </c>
      <c r="I11" s="24">
        <f t="shared" si="0"/>
        <v>0.89097653445372704</v>
      </c>
      <c r="J11" s="24">
        <f t="shared" ref="J11" si="1">+J10/J9</f>
        <v>0.93213945990442326</v>
      </c>
      <c r="K11" s="24">
        <f t="shared" si="0"/>
        <v>0.78680146272738383</v>
      </c>
    </row>
    <row r="12" spans="1:11" ht="37.5" customHeight="1" x14ac:dyDescent="0.3">
      <c r="A12" s="21" t="s">
        <v>181</v>
      </c>
      <c r="B12" s="22" t="s">
        <v>66</v>
      </c>
      <c r="C12" s="25" t="s">
        <v>67</v>
      </c>
      <c r="D12" s="26">
        <f>+(D10/1000)*(D14-D16)</f>
        <v>78100264.459949672</v>
      </c>
      <c r="E12" s="26">
        <f t="shared" ref="E12:H12" si="2">+(E10/1000)*(E14-E16)</f>
        <v>84307973.863725737</v>
      </c>
      <c r="F12" s="26">
        <f>+(F10/1000)*(F14-F16)</f>
        <v>88462205.804709211</v>
      </c>
      <c r="G12" s="26">
        <f t="shared" si="2"/>
        <v>84477807.201970831</v>
      </c>
      <c r="H12" s="26">
        <f t="shared" si="2"/>
        <v>87831297.206912711</v>
      </c>
      <c r="I12" s="26">
        <f>+(I10/1000)*(I14-I16)</f>
        <v>79224715.679893062</v>
      </c>
      <c r="J12" s="26">
        <f>+(J10/1000)*(J14-J16)</f>
        <v>85157176.68629092</v>
      </c>
      <c r="K12" s="26">
        <f>+(K10/1000)*(K14-K16)</f>
        <v>70731782.716499999</v>
      </c>
    </row>
    <row r="13" spans="1:11" ht="28.5" customHeight="1" x14ac:dyDescent="0.3">
      <c r="A13" s="203" t="s">
        <v>68</v>
      </c>
      <c r="B13" s="209" t="s">
        <v>69</v>
      </c>
      <c r="C13" s="27" t="s">
        <v>70</v>
      </c>
      <c r="D13" s="28" t="s">
        <v>71</v>
      </c>
      <c r="E13" s="29" t="s">
        <v>72</v>
      </c>
      <c r="F13" s="28" t="s">
        <v>73</v>
      </c>
      <c r="G13" s="30">
        <v>330.17</v>
      </c>
      <c r="H13" s="30">
        <v>330.17</v>
      </c>
      <c r="I13" s="28" t="s">
        <v>74</v>
      </c>
      <c r="J13" s="28">
        <v>347</v>
      </c>
      <c r="K13" s="42" t="s">
        <v>89</v>
      </c>
    </row>
    <row r="14" spans="1:11" ht="28.5" customHeight="1" x14ac:dyDescent="0.3">
      <c r="A14" s="204"/>
      <c r="B14" s="210"/>
      <c r="C14" s="27" t="s">
        <v>75</v>
      </c>
      <c r="D14" s="28">
        <f>(1043+1140)/3.4528/2</f>
        <v>316.12025023169605</v>
      </c>
      <c r="E14" s="30">
        <v>330.17</v>
      </c>
      <c r="F14" s="30">
        <v>330.17</v>
      </c>
      <c r="G14" s="30">
        <v>330.17</v>
      </c>
      <c r="H14" s="30">
        <v>330.17</v>
      </c>
      <c r="I14" s="28">
        <f>+(330.17+347)/2</f>
        <v>338.58500000000004</v>
      </c>
      <c r="J14" s="28">
        <v>347</v>
      </c>
      <c r="K14" s="42">
        <v>359.5</v>
      </c>
    </row>
    <row r="15" spans="1:11" ht="34.5" customHeight="1" x14ac:dyDescent="0.3">
      <c r="A15" s="203" t="s">
        <v>76</v>
      </c>
      <c r="B15" s="209" t="s">
        <v>77</v>
      </c>
      <c r="C15" s="27" t="s">
        <v>78</v>
      </c>
      <c r="D15" s="28">
        <v>0</v>
      </c>
      <c r="E15" s="28">
        <v>0</v>
      </c>
      <c r="F15" s="28">
        <v>0</v>
      </c>
      <c r="G15" s="28">
        <v>21</v>
      </c>
      <c r="H15" s="28">
        <v>21</v>
      </c>
      <c r="I15" s="31" t="s">
        <v>79</v>
      </c>
      <c r="J15" s="28">
        <v>56</v>
      </c>
      <c r="K15" s="43" t="s">
        <v>90</v>
      </c>
    </row>
    <row r="16" spans="1:11" ht="34.5" customHeight="1" x14ac:dyDescent="0.3">
      <c r="A16" s="204"/>
      <c r="B16" s="210"/>
      <c r="C16" s="27" t="s">
        <v>75</v>
      </c>
      <c r="D16" s="28">
        <v>0</v>
      </c>
      <c r="E16" s="28">
        <v>0</v>
      </c>
      <c r="F16" s="28">
        <v>0</v>
      </c>
      <c r="G16" s="28">
        <v>21</v>
      </c>
      <c r="H16" s="28">
        <v>21</v>
      </c>
      <c r="I16" s="28">
        <f>(21+56)/2</f>
        <v>38.5</v>
      </c>
      <c r="J16" s="28">
        <v>56</v>
      </c>
      <c r="K16" s="42">
        <v>58</v>
      </c>
    </row>
    <row r="17" spans="1:11" ht="46.8" x14ac:dyDescent="0.3">
      <c r="A17" s="32" t="s">
        <v>80</v>
      </c>
      <c r="B17" s="20" t="s">
        <v>81</v>
      </c>
      <c r="C17" s="18" t="s">
        <v>67</v>
      </c>
      <c r="D17" s="19">
        <f>D10*(D14-D16)/1000</f>
        <v>78100264.459949657</v>
      </c>
      <c r="E17" s="19">
        <f t="shared" ref="E17:H17" si="3">E10*(E14-E16)/1000</f>
        <v>84307973.863725737</v>
      </c>
      <c r="F17" s="19">
        <f>F10*(F14-F16)/1000</f>
        <v>88462205.804709211</v>
      </c>
      <c r="G17" s="19">
        <f t="shared" si="3"/>
        <v>84477807.201970831</v>
      </c>
      <c r="H17" s="19">
        <f t="shared" si="3"/>
        <v>87831297.206912711</v>
      </c>
      <c r="I17" s="19">
        <f>I10*(I14-I16)/1000</f>
        <v>79224715.679893062</v>
      </c>
      <c r="J17" s="19">
        <f>J10*(J14-J16)/1000</f>
        <v>85157176.68629092</v>
      </c>
      <c r="K17" s="41">
        <v>70731783</v>
      </c>
    </row>
    <row r="18" spans="1:11" ht="18" customHeight="1" x14ac:dyDescent="0.3">
      <c r="A18" s="33"/>
      <c r="B18" s="34" t="s">
        <v>82</v>
      </c>
      <c r="C18" s="35"/>
      <c r="D18" s="211" t="s">
        <v>83</v>
      </c>
      <c r="E18" s="211"/>
      <c r="F18" s="36" t="s">
        <v>84</v>
      </c>
      <c r="G18" s="211" t="s">
        <v>85</v>
      </c>
      <c r="H18" s="211"/>
      <c r="I18" s="211"/>
      <c r="J18" s="211"/>
      <c r="K18" s="211"/>
    </row>
    <row r="19" spans="1:11" x14ac:dyDescent="0.3">
      <c r="A19" s="212" t="s">
        <v>86</v>
      </c>
      <c r="B19" s="212"/>
      <c r="C19" s="212"/>
      <c r="D19" s="212"/>
      <c r="E19" s="212"/>
      <c r="F19" s="212"/>
      <c r="G19" s="212"/>
      <c r="H19" s="212"/>
      <c r="I19" s="212"/>
      <c r="J19" s="212"/>
      <c r="K19" s="212"/>
    </row>
    <row r="30" spans="1:11" ht="211.5" customHeight="1" x14ac:dyDescent="0.3">
      <c r="B30" s="201" t="s">
        <v>110</v>
      </c>
      <c r="C30" s="201"/>
      <c r="D30" s="201" t="s">
        <v>110</v>
      </c>
      <c r="E30" s="201"/>
      <c r="F30" s="201" t="s">
        <v>110</v>
      </c>
      <c r="G30" s="201"/>
      <c r="H30" s="201" t="s">
        <v>110</v>
      </c>
      <c r="I30" s="201"/>
      <c r="J30" s="201" t="s">
        <v>110</v>
      </c>
      <c r="K30" s="201"/>
    </row>
  </sheetData>
  <mergeCells count="13">
    <mergeCell ref="B30:K30"/>
    <mergeCell ref="A3:K3"/>
    <mergeCell ref="A5:A6"/>
    <mergeCell ref="B5:B6"/>
    <mergeCell ref="C5:C6"/>
    <mergeCell ref="D5:K5"/>
    <mergeCell ref="A13:A14"/>
    <mergeCell ref="B13:B14"/>
    <mergeCell ref="A15:A16"/>
    <mergeCell ref="B15:B16"/>
    <mergeCell ref="D18:E18"/>
    <mergeCell ref="G18:K18"/>
    <mergeCell ref="A19:K19"/>
  </mergeCells>
  <printOptions horizontalCentered="1"/>
  <pageMargins left="0" right="0" top="0.74803149606299213" bottom="0.74803149606299213" header="0.31496062992125984" footer="0.31496062992125984"/>
  <pageSetup paperSize="9" scale="7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0B21-D074-4DD1-B3E5-6E14FA35736B}">
  <sheetPr>
    <tabColor rgb="FF00B0F0"/>
  </sheetPr>
  <dimension ref="B1:H23"/>
  <sheetViews>
    <sheetView topLeftCell="A10" zoomScaleNormal="100" workbookViewId="0">
      <selection activeCell="H7" sqref="H7"/>
    </sheetView>
  </sheetViews>
  <sheetFormatPr defaultRowHeight="14.4" x14ac:dyDescent="0.3"/>
  <cols>
    <col min="3" max="3" width="5.6640625" bestFit="1" customWidth="1"/>
    <col min="4" max="4" width="11.5546875" customWidth="1"/>
    <col min="5" max="5" width="20.109375" customWidth="1"/>
    <col min="6" max="6" width="27.44140625" customWidth="1"/>
  </cols>
  <sheetData>
    <row r="1" spans="2:8" x14ac:dyDescent="0.3">
      <c r="H1" t="s">
        <v>109</v>
      </c>
    </row>
    <row r="2" spans="2:8" ht="18.899999999999999" customHeight="1" x14ac:dyDescent="0.3">
      <c r="B2" s="104" t="s">
        <v>201</v>
      </c>
      <c r="C2" s="104"/>
      <c r="D2" s="104"/>
      <c r="E2" s="104"/>
      <c r="F2" s="104"/>
    </row>
    <row r="3" spans="2:8" ht="18.899999999999999" customHeight="1" x14ac:dyDescent="0.3">
      <c r="B3" s="104"/>
      <c r="C3" s="104"/>
      <c r="D3" s="104"/>
      <c r="E3" s="104"/>
      <c r="F3" s="104"/>
    </row>
    <row r="4" spans="2:8" ht="18.899999999999999" customHeight="1" x14ac:dyDescent="0.3">
      <c r="B4" s="106" t="s">
        <v>202</v>
      </c>
      <c r="C4" s="106"/>
      <c r="D4" s="106"/>
      <c r="E4" s="106"/>
      <c r="F4" s="106"/>
    </row>
    <row r="5" spans="2:8" ht="46.8" x14ac:dyDescent="0.3">
      <c r="B5" s="105" t="s">
        <v>193</v>
      </c>
      <c r="C5" s="105" t="s">
        <v>194</v>
      </c>
      <c r="D5" s="105" t="s">
        <v>4</v>
      </c>
      <c r="E5" s="105" t="s">
        <v>195</v>
      </c>
      <c r="F5" s="105" t="s">
        <v>196</v>
      </c>
    </row>
    <row r="6" spans="2:8" ht="15.6" x14ac:dyDescent="0.3">
      <c r="B6" s="102">
        <v>2003</v>
      </c>
      <c r="C6" s="102">
        <v>26.8</v>
      </c>
      <c r="D6" s="102" t="s">
        <v>197</v>
      </c>
      <c r="E6" s="102">
        <v>81181.399999999994</v>
      </c>
      <c r="F6" s="102" t="s">
        <v>197</v>
      </c>
    </row>
    <row r="7" spans="2:8" ht="15.6" x14ac:dyDescent="0.3">
      <c r="B7" s="102">
        <v>2004</v>
      </c>
      <c r="C7" s="102">
        <v>48</v>
      </c>
      <c r="D7" s="102">
        <v>60093</v>
      </c>
      <c r="E7" s="102">
        <v>145336.6</v>
      </c>
      <c r="F7" s="102" t="s">
        <v>197</v>
      </c>
    </row>
    <row r="8" spans="2:8" ht="15.6" x14ac:dyDescent="0.3">
      <c r="B8" s="102">
        <v>2005</v>
      </c>
      <c r="C8" s="102">
        <v>50.7</v>
      </c>
      <c r="D8" s="102">
        <v>65379</v>
      </c>
      <c r="E8" s="102">
        <v>153674.1</v>
      </c>
      <c r="F8" s="102" t="s">
        <v>197</v>
      </c>
    </row>
    <row r="9" spans="2:8" ht="15.6" x14ac:dyDescent="0.3">
      <c r="B9" s="102">
        <v>2006</v>
      </c>
      <c r="C9" s="102">
        <v>40</v>
      </c>
      <c r="D9" s="102">
        <v>57907</v>
      </c>
      <c r="E9" s="102">
        <v>121113.8</v>
      </c>
      <c r="F9" s="102" t="s">
        <v>197</v>
      </c>
    </row>
    <row r="10" spans="2:8" ht="15.6" x14ac:dyDescent="0.3">
      <c r="B10" s="102">
        <v>2007</v>
      </c>
      <c r="C10" s="102">
        <v>50.3</v>
      </c>
      <c r="D10" s="102">
        <v>62033</v>
      </c>
      <c r="E10" s="102">
        <v>152445.4</v>
      </c>
      <c r="F10" s="102" t="s">
        <v>197</v>
      </c>
    </row>
    <row r="11" spans="2:8" ht="15.6" x14ac:dyDescent="0.3">
      <c r="B11" s="102">
        <v>2008</v>
      </c>
      <c r="C11" s="102">
        <v>62.2</v>
      </c>
      <c r="D11" s="102">
        <v>62046</v>
      </c>
      <c r="E11" s="102">
        <v>188516.3</v>
      </c>
      <c r="F11" s="102" t="s">
        <v>197</v>
      </c>
    </row>
    <row r="12" spans="2:8" ht="15.6" x14ac:dyDescent="0.3">
      <c r="B12" s="102">
        <v>2009</v>
      </c>
      <c r="C12" s="102">
        <v>62.2</v>
      </c>
      <c r="D12" s="102">
        <v>62248</v>
      </c>
      <c r="E12" s="102">
        <v>188340.8</v>
      </c>
      <c r="F12" s="102" t="s">
        <v>197</v>
      </c>
    </row>
    <row r="13" spans="2:8" ht="15.6" x14ac:dyDescent="0.3">
      <c r="B13" s="102">
        <v>2010</v>
      </c>
      <c r="C13" s="102">
        <v>61.2</v>
      </c>
      <c r="D13" s="102">
        <v>64762</v>
      </c>
      <c r="E13" s="102">
        <v>185444.6</v>
      </c>
      <c r="F13" s="102" t="s">
        <v>197</v>
      </c>
    </row>
    <row r="14" spans="2:8" ht="15.6" x14ac:dyDescent="0.3">
      <c r="B14" s="102">
        <v>2011</v>
      </c>
      <c r="C14" s="102">
        <v>68.8</v>
      </c>
      <c r="D14" s="102">
        <v>64041</v>
      </c>
      <c r="E14" s="102">
        <v>208350.9</v>
      </c>
      <c r="F14" s="102" t="s">
        <v>197</v>
      </c>
    </row>
    <row r="15" spans="2:8" ht="15.6" x14ac:dyDescent="0.3">
      <c r="B15" s="102">
        <v>2012</v>
      </c>
      <c r="C15" s="102">
        <v>76.900000000000006</v>
      </c>
      <c r="D15" s="102">
        <v>65886</v>
      </c>
      <c r="E15" s="102">
        <v>233100.2</v>
      </c>
      <c r="F15" s="102" t="s">
        <v>197</v>
      </c>
    </row>
    <row r="16" spans="2:8" ht="15.6" x14ac:dyDescent="0.3">
      <c r="B16" s="102">
        <v>2013</v>
      </c>
      <c r="C16" s="102">
        <v>78.5</v>
      </c>
      <c r="D16" s="102">
        <v>65355</v>
      </c>
      <c r="E16" s="102">
        <v>237927.2</v>
      </c>
      <c r="F16" s="102">
        <v>96</v>
      </c>
    </row>
    <row r="17" spans="2:6" ht="15.6" x14ac:dyDescent="0.3">
      <c r="B17" s="102">
        <v>2014</v>
      </c>
      <c r="C17" s="102">
        <v>90.6</v>
      </c>
      <c r="D17" s="102">
        <v>69259</v>
      </c>
      <c r="E17" s="102">
        <v>274436.90000000002</v>
      </c>
      <c r="F17" s="102">
        <v>108</v>
      </c>
    </row>
    <row r="18" spans="2:6" ht="15.6" x14ac:dyDescent="0.3">
      <c r="B18" s="102">
        <v>2015</v>
      </c>
      <c r="C18" s="102">
        <v>83.8</v>
      </c>
      <c r="D18" s="102">
        <v>73273</v>
      </c>
      <c r="E18" s="102">
        <v>263883.8</v>
      </c>
      <c r="F18" s="102">
        <v>93.6</v>
      </c>
    </row>
    <row r="19" spans="2:6" ht="15.6" x14ac:dyDescent="0.3">
      <c r="B19" s="102">
        <v>2016</v>
      </c>
      <c r="C19" s="102">
        <v>88.5</v>
      </c>
      <c r="D19" s="102">
        <v>83843</v>
      </c>
      <c r="E19" s="102">
        <v>286409.7</v>
      </c>
      <c r="F19" s="102">
        <v>100.6</v>
      </c>
    </row>
    <row r="20" spans="2:6" ht="15.6" x14ac:dyDescent="0.3">
      <c r="B20" s="102">
        <v>2017</v>
      </c>
      <c r="C20" s="102">
        <v>90.1</v>
      </c>
      <c r="D20" s="102" t="s">
        <v>198</v>
      </c>
      <c r="E20" s="102">
        <v>291289.7</v>
      </c>
      <c r="F20" s="102">
        <v>102.3</v>
      </c>
    </row>
    <row r="21" spans="2:6" ht="31.2" x14ac:dyDescent="0.3">
      <c r="B21" s="105" t="s">
        <v>199</v>
      </c>
      <c r="C21" s="105">
        <v>888.4</v>
      </c>
      <c r="D21" s="105" t="s">
        <v>146</v>
      </c>
      <c r="E21" s="105">
        <v>2720161.8</v>
      </c>
      <c r="F21" s="105" t="s">
        <v>146</v>
      </c>
    </row>
    <row r="22" spans="2:6" ht="52.5" customHeight="1" x14ac:dyDescent="0.3">
      <c r="B22" s="213" t="s">
        <v>200</v>
      </c>
      <c r="C22" s="213"/>
      <c r="D22" s="213"/>
      <c r="E22" s="213"/>
      <c r="F22" s="213"/>
    </row>
    <row r="23" spans="2:6" x14ac:dyDescent="0.3">
      <c r="B23" s="103"/>
      <c r="C23" s="103"/>
      <c r="D23" s="103"/>
      <c r="E23" s="103"/>
      <c r="F23" s="103"/>
    </row>
  </sheetData>
  <mergeCells count="1">
    <mergeCell ref="B22:F22"/>
  </mergeCell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446C-16CC-4F2D-8A4B-A406B18A9DC8}">
  <sheetPr>
    <tabColor theme="9" tint="0.59999389629810485"/>
  </sheetPr>
  <dimension ref="B1:L29"/>
  <sheetViews>
    <sheetView topLeftCell="B22" zoomScaleNormal="100" workbookViewId="0">
      <selection activeCell="N3" sqref="N3"/>
    </sheetView>
  </sheetViews>
  <sheetFormatPr defaultRowHeight="14.4" x14ac:dyDescent="0.3"/>
  <cols>
    <col min="3" max="3" width="43.33203125" bestFit="1" customWidth="1"/>
    <col min="4" max="4" width="17.44140625" bestFit="1" customWidth="1"/>
    <col min="5" max="5" width="14.109375" customWidth="1"/>
    <col min="6" max="6" width="10.6640625" bestFit="1" customWidth="1"/>
    <col min="7" max="7" width="20.88671875" hidden="1" customWidth="1"/>
    <col min="8" max="8" width="12" hidden="1" customWidth="1"/>
    <col min="9" max="9" width="15.5546875" bestFit="1" customWidth="1"/>
    <col min="10" max="10" width="9.44140625" bestFit="1" customWidth="1"/>
    <col min="11" max="11" width="15.33203125" customWidth="1"/>
    <col min="12" max="12" width="10.88671875" bestFit="1" customWidth="1"/>
  </cols>
  <sheetData>
    <row r="1" spans="2:12" x14ac:dyDescent="0.3">
      <c r="L1" t="s">
        <v>108</v>
      </c>
    </row>
    <row r="2" spans="2:12" x14ac:dyDescent="0.3">
      <c r="J2" s="39" t="s">
        <v>188</v>
      </c>
    </row>
    <row r="3" spans="2:12" ht="17.399999999999999" x14ac:dyDescent="0.3">
      <c r="B3" s="214" t="s">
        <v>111</v>
      </c>
      <c r="C3" s="214"/>
      <c r="D3" s="214"/>
      <c r="E3" s="214"/>
      <c r="F3" s="214"/>
      <c r="G3" s="214"/>
      <c r="H3" s="214"/>
      <c r="I3" s="214"/>
      <c r="J3" s="214"/>
      <c r="K3" s="214"/>
      <c r="L3" s="73"/>
    </row>
    <row r="4" spans="2:12" ht="126" x14ac:dyDescent="0.3">
      <c r="B4" s="74" t="s">
        <v>43</v>
      </c>
      <c r="C4" s="75" t="s">
        <v>13</v>
      </c>
      <c r="D4" s="74" t="s">
        <v>112</v>
      </c>
      <c r="E4" s="74" t="s">
        <v>113</v>
      </c>
      <c r="F4" s="74" t="s">
        <v>114</v>
      </c>
      <c r="G4" s="74" t="s">
        <v>115</v>
      </c>
      <c r="H4" s="74" t="s">
        <v>116</v>
      </c>
      <c r="I4" s="74" t="s">
        <v>117</v>
      </c>
      <c r="J4" s="74" t="s">
        <v>116</v>
      </c>
      <c r="K4" s="74" t="s">
        <v>118</v>
      </c>
      <c r="L4" s="74" t="s">
        <v>116</v>
      </c>
    </row>
    <row r="5" spans="2:12" ht="17.399999999999999" x14ac:dyDescent="0.3">
      <c r="B5" s="76" t="s">
        <v>119</v>
      </c>
      <c r="C5" s="215" t="s">
        <v>120</v>
      </c>
      <c r="D5" s="216"/>
      <c r="E5" s="216"/>
      <c r="F5" s="216"/>
      <c r="G5" s="216"/>
      <c r="H5" s="216"/>
      <c r="I5" s="216"/>
      <c r="J5" s="216"/>
      <c r="K5" s="216"/>
      <c r="L5" s="217"/>
    </row>
    <row r="6" spans="2:12" ht="36" x14ac:dyDescent="0.35">
      <c r="B6" s="77" t="s">
        <v>54</v>
      </c>
      <c r="C6" s="78" t="s">
        <v>121</v>
      </c>
      <c r="D6" s="77" t="s">
        <v>122</v>
      </c>
      <c r="E6" s="77">
        <v>115</v>
      </c>
      <c r="F6" s="218">
        <v>113296</v>
      </c>
      <c r="G6" s="77">
        <v>79208</v>
      </c>
      <c r="H6" s="79">
        <v>27.151039827786558</v>
      </c>
      <c r="I6" s="77">
        <v>1556091.6199999999</v>
      </c>
      <c r="J6" s="80">
        <v>53.977396769667308</v>
      </c>
      <c r="K6" s="77">
        <v>178950536.29999998</v>
      </c>
      <c r="L6" s="81">
        <v>0.75966576485886905</v>
      </c>
    </row>
    <row r="7" spans="2:12" ht="18" x14ac:dyDescent="0.35">
      <c r="B7" s="77" t="s">
        <v>57</v>
      </c>
      <c r="C7" s="78" t="s">
        <v>123</v>
      </c>
      <c r="D7" s="77" t="s">
        <v>122</v>
      </c>
      <c r="E7" s="77">
        <v>115</v>
      </c>
      <c r="F7" s="219"/>
      <c r="G7" s="77">
        <v>10160</v>
      </c>
      <c r="H7" s="77">
        <v>3.4826603960497855</v>
      </c>
      <c r="I7" s="77">
        <v>251140.34999999998</v>
      </c>
      <c r="J7" s="80">
        <v>8.7115065350863574</v>
      </c>
      <c r="K7" s="77">
        <v>28881140.25</v>
      </c>
      <c r="L7" s="81">
        <v>0.12260378734619375</v>
      </c>
    </row>
    <row r="8" spans="2:12" ht="18" x14ac:dyDescent="0.35">
      <c r="B8" s="77" t="s">
        <v>59</v>
      </c>
      <c r="C8" s="78" t="s">
        <v>124</v>
      </c>
      <c r="D8" s="77" t="s">
        <v>122</v>
      </c>
      <c r="E8" s="77">
        <v>240</v>
      </c>
      <c r="F8" s="219"/>
      <c r="G8" s="77">
        <v>27221</v>
      </c>
      <c r="H8" s="79">
        <v>9.3308561654400801</v>
      </c>
      <c r="I8" s="77">
        <v>10540.14</v>
      </c>
      <c r="J8" s="82">
        <v>0.3656142809816309</v>
      </c>
      <c r="K8" s="77">
        <v>2529633.6</v>
      </c>
      <c r="L8" s="83">
        <v>1.0738587786823496E-2</v>
      </c>
    </row>
    <row r="9" spans="2:12" ht="18" x14ac:dyDescent="0.35">
      <c r="B9" s="77" t="s">
        <v>62</v>
      </c>
      <c r="C9" s="84" t="s">
        <v>125</v>
      </c>
      <c r="D9" s="77" t="s">
        <v>122</v>
      </c>
      <c r="E9" s="77">
        <v>240</v>
      </c>
      <c r="F9" s="219"/>
      <c r="G9" s="77">
        <v>1411</v>
      </c>
      <c r="H9" s="77">
        <v>0.48366474594746528</v>
      </c>
      <c r="I9" s="77">
        <v>5077.24</v>
      </c>
      <c r="J9" s="82">
        <v>0.17611829178466087</v>
      </c>
      <c r="K9" s="77">
        <v>1218537.6000000001</v>
      </c>
      <c r="L9" s="83">
        <v>5.1728333261960215E-3</v>
      </c>
    </row>
    <row r="10" spans="2:12" ht="36" x14ac:dyDescent="0.35">
      <c r="B10" s="77" t="s">
        <v>68</v>
      </c>
      <c r="C10" s="84" t="s">
        <v>126</v>
      </c>
      <c r="D10" s="77" t="s">
        <v>122</v>
      </c>
      <c r="E10" s="77">
        <v>150</v>
      </c>
      <c r="F10" s="219"/>
      <c r="G10" s="77">
        <v>617</v>
      </c>
      <c r="H10" s="77">
        <v>0.21149620712231473</v>
      </c>
      <c r="I10" s="77">
        <v>14815.39</v>
      </c>
      <c r="J10" s="82">
        <v>0.51391330307874894</v>
      </c>
      <c r="K10" s="77">
        <v>2222308.5</v>
      </c>
      <c r="L10" s="83">
        <v>9.433957121953964E-3</v>
      </c>
    </row>
    <row r="11" spans="2:12" ht="18" x14ac:dyDescent="0.35">
      <c r="B11" s="77" t="s">
        <v>76</v>
      </c>
      <c r="C11" s="84" t="s">
        <v>127</v>
      </c>
      <c r="D11" s="77" t="s">
        <v>122</v>
      </c>
      <c r="E11" s="77">
        <v>250</v>
      </c>
      <c r="F11" s="219"/>
      <c r="G11" s="77">
        <v>3408</v>
      </c>
      <c r="H11" s="77">
        <v>1.168199471430873</v>
      </c>
      <c r="I11" s="77">
        <v>4950.92</v>
      </c>
      <c r="J11" s="82">
        <v>0.17173652873657996</v>
      </c>
      <c r="K11" s="77">
        <v>1237730</v>
      </c>
      <c r="L11" s="83">
        <v>5.2543072883697653E-3</v>
      </c>
    </row>
    <row r="12" spans="2:12" ht="36" x14ac:dyDescent="0.35">
      <c r="B12" s="77" t="s">
        <v>80</v>
      </c>
      <c r="C12" s="84" t="s">
        <v>128</v>
      </c>
      <c r="D12" s="77" t="s">
        <v>122</v>
      </c>
      <c r="E12" s="77">
        <v>150</v>
      </c>
      <c r="F12" s="219"/>
      <c r="G12" s="77">
        <v>10165</v>
      </c>
      <c r="H12" s="77">
        <v>3.4843743037250068</v>
      </c>
      <c r="I12" s="77">
        <v>10408.719999999999</v>
      </c>
      <c r="J12" s="82">
        <v>0.36105561014740989</v>
      </c>
      <c r="K12" s="77">
        <v>1561308</v>
      </c>
      <c r="L12" s="83">
        <v>6.6279333972595169E-3</v>
      </c>
    </row>
    <row r="13" spans="2:12" ht="18" x14ac:dyDescent="0.35">
      <c r="B13" s="77" t="s">
        <v>129</v>
      </c>
      <c r="C13" s="84" t="s">
        <v>130</v>
      </c>
      <c r="D13" s="77" t="s">
        <v>122</v>
      </c>
      <c r="E13" s="77">
        <v>115</v>
      </c>
      <c r="F13" s="219"/>
      <c r="G13" s="77">
        <v>336</v>
      </c>
      <c r="H13" s="77">
        <v>0.11517459577487479</v>
      </c>
      <c r="I13" s="77">
        <v>9634.6099999999988</v>
      </c>
      <c r="J13" s="82">
        <v>0.33420343635743266</v>
      </c>
      <c r="K13" s="77">
        <v>1107980.1499999999</v>
      </c>
      <c r="L13" s="83">
        <v>4.7035041386360712E-3</v>
      </c>
    </row>
    <row r="14" spans="2:12" ht="54" x14ac:dyDescent="0.35">
      <c r="B14" s="77" t="s">
        <v>131</v>
      </c>
      <c r="C14" s="78" t="s">
        <v>132</v>
      </c>
      <c r="D14" s="77" t="s">
        <v>122</v>
      </c>
      <c r="E14" s="77">
        <v>12</v>
      </c>
      <c r="F14" s="219"/>
      <c r="G14" s="77">
        <v>104750</v>
      </c>
      <c r="H14" s="79">
        <v>35.906365795887304</v>
      </c>
      <c r="I14" s="77">
        <v>923410.01</v>
      </c>
      <c r="J14" s="80">
        <v>32.031062856602531</v>
      </c>
      <c r="K14" s="77">
        <v>11080920.119999999</v>
      </c>
      <c r="L14" s="81">
        <v>4.7039790057895638E-2</v>
      </c>
    </row>
    <row r="15" spans="2:12" ht="18" x14ac:dyDescent="0.35">
      <c r="B15" s="77" t="s">
        <v>133</v>
      </c>
      <c r="C15" s="78" t="s">
        <v>134</v>
      </c>
      <c r="D15" s="77" t="s">
        <v>122</v>
      </c>
      <c r="E15" s="77">
        <v>70</v>
      </c>
      <c r="F15" s="219"/>
      <c r="G15" s="77">
        <v>53989</v>
      </c>
      <c r="H15" s="79">
        <v>18.506432295505107</v>
      </c>
      <c r="I15" s="77">
        <v>90914</v>
      </c>
      <c r="J15" s="80">
        <v>3.1536067586544383</v>
      </c>
      <c r="K15" s="77">
        <v>6363980</v>
      </c>
      <c r="L15" s="81">
        <v>2.7015832610536559E-2</v>
      </c>
    </row>
    <row r="16" spans="2:12" ht="36" x14ac:dyDescent="0.35">
      <c r="B16" s="77" t="s">
        <v>135</v>
      </c>
      <c r="C16" s="84" t="s">
        <v>136</v>
      </c>
      <c r="D16" s="77" t="s">
        <v>122</v>
      </c>
      <c r="E16" s="77">
        <v>70</v>
      </c>
      <c r="F16" s="219"/>
      <c r="G16" s="77">
        <v>410</v>
      </c>
      <c r="H16" s="77">
        <v>0.14054042936815081</v>
      </c>
      <c r="I16" s="77">
        <v>5866.51</v>
      </c>
      <c r="J16" s="82">
        <v>0.20349633264088973</v>
      </c>
      <c r="K16" s="77">
        <v>410655.7</v>
      </c>
      <c r="L16" s="83">
        <v>1.7432810366724469E-3</v>
      </c>
    </row>
    <row r="17" spans="2:12" ht="18" x14ac:dyDescent="0.35">
      <c r="B17" s="77" t="s">
        <v>137</v>
      </c>
      <c r="C17" s="77" t="s">
        <v>138</v>
      </c>
      <c r="D17" s="77" t="s">
        <v>139</v>
      </c>
      <c r="E17" s="77">
        <v>20</v>
      </c>
      <c r="F17" s="219"/>
      <c r="G17" s="77">
        <v>2</v>
      </c>
      <c r="H17" s="77">
        <v>6.8556307008854048E-4</v>
      </c>
      <c r="I17" s="77">
        <v>3.51</v>
      </c>
      <c r="J17" s="82">
        <v>1.2175418222580767E-4</v>
      </c>
      <c r="K17" s="77">
        <v>70.199999999999989</v>
      </c>
      <c r="L17" s="83">
        <v>2.9800713535549548E-7</v>
      </c>
    </row>
    <row r="18" spans="2:12" ht="18" x14ac:dyDescent="0.35">
      <c r="B18" s="77" t="s">
        <v>140</v>
      </c>
      <c r="C18" s="77" t="s">
        <v>141</v>
      </c>
      <c r="D18" s="77" t="s">
        <v>139</v>
      </c>
      <c r="E18" s="77">
        <v>6</v>
      </c>
      <c r="F18" s="220"/>
      <c r="G18" s="77">
        <v>54</v>
      </c>
      <c r="H18" s="77">
        <v>1.8510202892390592E-2</v>
      </c>
      <c r="I18" s="77">
        <v>4.83</v>
      </c>
      <c r="J18" s="82">
        <v>1.675420798150003E-4</v>
      </c>
      <c r="K18" s="77">
        <v>28.98</v>
      </c>
      <c r="L18" s="83">
        <v>1.2302345844162765E-7</v>
      </c>
    </row>
    <row r="19" spans="2:12" ht="18" x14ac:dyDescent="0.35">
      <c r="B19" s="85"/>
      <c r="C19" s="85"/>
      <c r="D19" s="77"/>
      <c r="E19" s="77"/>
      <c r="F19" s="85"/>
      <c r="G19" s="85"/>
      <c r="H19" s="85"/>
      <c r="I19" s="85"/>
      <c r="J19" s="85"/>
      <c r="K19" s="85"/>
      <c r="L19" s="85"/>
    </row>
    <row r="20" spans="2:12" ht="17.399999999999999" x14ac:dyDescent="0.3">
      <c r="B20" s="76" t="s">
        <v>142</v>
      </c>
      <c r="C20" s="215" t="s">
        <v>143</v>
      </c>
      <c r="D20" s="216"/>
      <c r="E20" s="216"/>
      <c r="F20" s="216"/>
      <c r="G20" s="216"/>
      <c r="H20" s="216"/>
      <c r="I20" s="216"/>
      <c r="J20" s="216"/>
      <c r="K20" s="216"/>
      <c r="L20" s="217"/>
    </row>
    <row r="21" spans="2:12" ht="18" x14ac:dyDescent="0.35">
      <c r="B21" s="77" t="s">
        <v>54</v>
      </c>
      <c r="C21" s="77" t="s">
        <v>144</v>
      </c>
      <c r="D21" s="77" t="s">
        <v>145</v>
      </c>
      <c r="E21" s="77">
        <v>115</v>
      </c>
      <c r="F21" s="218">
        <v>57373</v>
      </c>
      <c r="G21" s="221" t="s">
        <v>146</v>
      </c>
      <c r="H21" s="222"/>
      <c r="I21" s="77">
        <v>7730.9000000000005</v>
      </c>
      <c r="J21" s="82">
        <v>1.3100055742974779</v>
      </c>
      <c r="K21" s="77">
        <v>889053.5</v>
      </c>
      <c r="L21" s="83">
        <v>1.474055039740239E-2</v>
      </c>
    </row>
    <row r="22" spans="2:12" ht="18" x14ac:dyDescent="0.35">
      <c r="B22" s="77" t="s">
        <v>57</v>
      </c>
      <c r="C22" s="77" t="s">
        <v>147</v>
      </c>
      <c r="D22" s="77" t="s">
        <v>145</v>
      </c>
      <c r="E22" s="77">
        <v>90</v>
      </c>
      <c r="F22" s="219"/>
      <c r="G22" s="223"/>
      <c r="H22" s="224"/>
      <c r="I22" s="77">
        <v>14453.538</v>
      </c>
      <c r="J22" s="82">
        <v>2.4491605567683479</v>
      </c>
      <c r="K22" s="77">
        <v>1300818.42</v>
      </c>
      <c r="L22" s="83">
        <v>2.1567632856604634E-2</v>
      </c>
    </row>
    <row r="23" spans="2:12" ht="18" x14ac:dyDescent="0.35">
      <c r="B23" s="77" t="s">
        <v>59</v>
      </c>
      <c r="C23" s="79" t="s">
        <v>148</v>
      </c>
      <c r="D23" s="77" t="s">
        <v>145</v>
      </c>
      <c r="E23" s="77">
        <v>115</v>
      </c>
      <c r="F23" s="219"/>
      <c r="G23" s="223"/>
      <c r="H23" s="224"/>
      <c r="I23" s="77">
        <v>485781.96500000003</v>
      </c>
      <c r="J23" s="80">
        <v>82.316041087477828</v>
      </c>
      <c r="K23" s="77">
        <v>55864925.975000009</v>
      </c>
      <c r="L23" s="81">
        <v>0.92624319771716956</v>
      </c>
    </row>
    <row r="24" spans="2:12" ht="18" x14ac:dyDescent="0.35">
      <c r="B24" s="77" t="s">
        <v>62</v>
      </c>
      <c r="C24" s="77" t="s">
        <v>149</v>
      </c>
      <c r="D24" s="77" t="s">
        <v>145</v>
      </c>
      <c r="E24" s="77">
        <v>30</v>
      </c>
      <c r="F24" s="219"/>
      <c r="G24" s="223"/>
      <c r="H24" s="224"/>
      <c r="I24" s="77">
        <v>42618.562000000005</v>
      </c>
      <c r="J24" s="82">
        <v>7.2217405203201013</v>
      </c>
      <c r="K24" s="77">
        <v>1278556.8600000001</v>
      </c>
      <c r="L24" s="83">
        <v>2.1198535105901452E-2</v>
      </c>
    </row>
    <row r="25" spans="2:12" ht="18" x14ac:dyDescent="0.35">
      <c r="B25" s="77" t="s">
        <v>68</v>
      </c>
      <c r="C25" s="77" t="s">
        <v>150</v>
      </c>
      <c r="D25" s="77" t="s">
        <v>145</v>
      </c>
      <c r="E25" s="77">
        <v>30</v>
      </c>
      <c r="F25" s="219"/>
      <c r="G25" s="223"/>
      <c r="H25" s="224"/>
      <c r="I25" s="77">
        <v>18901.27</v>
      </c>
      <c r="J25" s="82">
        <v>3.202831372971024</v>
      </c>
      <c r="K25" s="77">
        <v>567038.1</v>
      </c>
      <c r="L25" s="83">
        <v>9.4015193577184006E-3</v>
      </c>
    </row>
    <row r="26" spans="2:12" ht="18" x14ac:dyDescent="0.35">
      <c r="B26" s="77" t="s">
        <v>76</v>
      </c>
      <c r="C26" s="77" t="s">
        <v>151</v>
      </c>
      <c r="D26" s="77" t="s">
        <v>145</v>
      </c>
      <c r="E26" s="77">
        <v>30</v>
      </c>
      <c r="F26" s="219"/>
      <c r="G26" s="223"/>
      <c r="H26" s="224"/>
      <c r="I26" s="77">
        <v>10344.463000000002</v>
      </c>
      <c r="J26" s="82">
        <v>1.752875369376659</v>
      </c>
      <c r="K26" s="77">
        <v>310333.89</v>
      </c>
      <c r="L26" s="83">
        <v>5.1453510340681748E-3</v>
      </c>
    </row>
    <row r="27" spans="2:12" ht="18" x14ac:dyDescent="0.35">
      <c r="B27" s="77" t="s">
        <v>80</v>
      </c>
      <c r="C27" s="77" t="s">
        <v>152</v>
      </c>
      <c r="D27" s="77" t="s">
        <v>153</v>
      </c>
      <c r="E27" s="77">
        <v>10</v>
      </c>
      <c r="F27" s="219"/>
      <c r="G27" s="223"/>
      <c r="H27" s="224"/>
      <c r="I27" s="77">
        <v>10272.669</v>
      </c>
      <c r="J27" s="82">
        <v>1.7407098336432885</v>
      </c>
      <c r="K27" s="77">
        <v>102726.68999999999</v>
      </c>
      <c r="L27" s="83">
        <v>1.7032135311354512E-3</v>
      </c>
    </row>
    <row r="28" spans="2:12" ht="18" x14ac:dyDescent="0.35">
      <c r="B28" s="77" t="s">
        <v>129</v>
      </c>
      <c r="C28" s="77" t="s">
        <v>154</v>
      </c>
      <c r="D28" s="77" t="s">
        <v>122</v>
      </c>
      <c r="E28" s="77">
        <v>55</v>
      </c>
      <c r="F28" s="219"/>
      <c r="G28" s="223"/>
      <c r="H28" s="224"/>
      <c r="I28" s="77">
        <v>0.82699999999999996</v>
      </c>
      <c r="J28" s="82">
        <v>1.4013563879289786E-4</v>
      </c>
      <c r="K28" s="77">
        <v>0</v>
      </c>
      <c r="L28" s="83">
        <v>0</v>
      </c>
    </row>
    <row r="29" spans="2:12" ht="18" x14ac:dyDescent="0.35">
      <c r="B29" s="77" t="s">
        <v>131</v>
      </c>
      <c r="C29" s="77" t="s">
        <v>155</v>
      </c>
      <c r="D29" s="77" t="s">
        <v>139</v>
      </c>
      <c r="E29" s="77">
        <v>7</v>
      </c>
      <c r="F29" s="220"/>
      <c r="G29" s="225"/>
      <c r="H29" s="226"/>
      <c r="I29" s="77">
        <v>38.332999999999998</v>
      </c>
      <c r="J29" s="82">
        <v>6.4955495064669333E-3</v>
      </c>
      <c r="K29" s="77">
        <v>0</v>
      </c>
      <c r="L29" s="83">
        <v>0</v>
      </c>
    </row>
  </sheetData>
  <mergeCells count="6">
    <mergeCell ref="B3:K3"/>
    <mergeCell ref="C5:L5"/>
    <mergeCell ref="F6:F18"/>
    <mergeCell ref="C20:L20"/>
    <mergeCell ref="F21:F29"/>
    <mergeCell ref="G21:H29"/>
  </mergeCells>
  <pageMargins left="0.7" right="0.7" top="0.75" bottom="0.75" header="0.3" footer="0.3"/>
  <pageSetup paperSize="9" scale="53"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8790-3F72-4CF5-ACBE-9764004437E9}">
  <sheetPr>
    <tabColor theme="9" tint="0.79998168889431442"/>
  </sheetPr>
  <dimension ref="B1:L76"/>
  <sheetViews>
    <sheetView topLeftCell="A4" zoomScaleNormal="100" workbookViewId="0">
      <selection activeCell="I10" sqref="I10"/>
    </sheetView>
  </sheetViews>
  <sheetFormatPr defaultRowHeight="14.4" x14ac:dyDescent="0.3"/>
  <cols>
    <col min="1" max="1" width="0.88671875" customWidth="1"/>
    <col min="3" max="3" width="49.5546875" customWidth="1"/>
    <col min="4" max="4" width="9.88671875" customWidth="1"/>
    <col min="5" max="5" width="11.88671875" customWidth="1"/>
    <col min="6" max="6" width="14.5546875" customWidth="1"/>
    <col min="7" max="7" width="11" customWidth="1"/>
    <col min="8" max="8" width="13.6640625" bestFit="1" customWidth="1"/>
    <col min="9" max="9" width="12.44140625" customWidth="1"/>
  </cols>
  <sheetData>
    <row r="1" spans="2:12" x14ac:dyDescent="0.3">
      <c r="I1" t="s">
        <v>179</v>
      </c>
    </row>
    <row r="2" spans="2:12" x14ac:dyDescent="0.3">
      <c r="G2" s="39" t="s">
        <v>188</v>
      </c>
    </row>
    <row r="3" spans="2:12" ht="15.6" x14ac:dyDescent="0.3">
      <c r="B3" s="231" t="s">
        <v>212</v>
      </c>
      <c r="C3" s="231"/>
      <c r="D3" s="231"/>
      <c r="E3" s="231"/>
      <c r="F3" s="231"/>
      <c r="G3" s="231"/>
      <c r="H3" s="231"/>
      <c r="I3" s="110"/>
    </row>
    <row r="4" spans="2:12" ht="15.6" x14ac:dyDescent="0.3">
      <c r="B4" s="111"/>
      <c r="C4" s="111"/>
      <c r="D4" s="111"/>
      <c r="E4" s="111"/>
      <c r="F4" s="111"/>
      <c r="G4" s="110"/>
      <c r="H4" s="10"/>
      <c r="I4" s="10"/>
    </row>
    <row r="5" spans="2:12" ht="115.5" customHeight="1" x14ac:dyDescent="0.3">
      <c r="B5" s="108" t="s">
        <v>43</v>
      </c>
      <c r="C5" s="109" t="s">
        <v>13</v>
      </c>
      <c r="D5" s="108" t="s">
        <v>112</v>
      </c>
      <c r="E5" s="123" t="s">
        <v>113</v>
      </c>
      <c r="F5" s="108" t="s">
        <v>214</v>
      </c>
      <c r="G5" s="108" t="s">
        <v>215</v>
      </c>
      <c r="H5" s="108" t="s">
        <v>216</v>
      </c>
      <c r="I5" s="108" t="s">
        <v>217</v>
      </c>
      <c r="L5" s="125"/>
    </row>
    <row r="6" spans="2:12" ht="15.6" x14ac:dyDescent="0.3">
      <c r="B6" s="112" t="s">
        <v>142</v>
      </c>
      <c r="C6" s="228" t="s">
        <v>227</v>
      </c>
      <c r="D6" s="228"/>
      <c r="E6" s="228"/>
      <c r="F6" s="228"/>
      <c r="G6" s="228"/>
      <c r="H6" s="228"/>
      <c r="I6" s="228"/>
      <c r="J6" s="124"/>
      <c r="K6" s="124"/>
      <c r="L6" s="124"/>
    </row>
    <row r="7" spans="2:12" ht="15.75" customHeight="1" x14ac:dyDescent="0.3">
      <c r="B7" s="208" t="s">
        <v>54</v>
      </c>
      <c r="C7" s="230" t="s">
        <v>144</v>
      </c>
      <c r="D7" s="230"/>
      <c r="E7" s="230"/>
      <c r="F7" s="230"/>
      <c r="G7" s="230"/>
      <c r="H7" s="230"/>
      <c r="I7" s="230"/>
    </row>
    <row r="8" spans="2:12" ht="15.6" x14ac:dyDescent="0.3">
      <c r="B8" s="208"/>
      <c r="C8" s="113" t="s">
        <v>228</v>
      </c>
      <c r="D8" s="207" t="s">
        <v>229</v>
      </c>
      <c r="E8" s="208">
        <v>115</v>
      </c>
      <c r="F8" s="114">
        <v>4534.8950000000004</v>
      </c>
      <c r="G8" s="115">
        <f>+F8/$F$76</f>
        <v>7.6844063806979284E-3</v>
      </c>
      <c r="H8" s="114">
        <v>521512.92500000005</v>
      </c>
      <c r="I8" s="115">
        <f>+H8/$H$76</f>
        <v>8.6467097355324898E-3</v>
      </c>
    </row>
    <row r="9" spans="2:12" ht="15.6" x14ac:dyDescent="0.3">
      <c r="B9" s="208"/>
      <c r="C9" s="113" t="s">
        <v>230</v>
      </c>
      <c r="D9" s="207"/>
      <c r="E9" s="208"/>
      <c r="F9" s="114">
        <f>+[1]Gyvuliai!F8-[1]Gyvuliai!F7</f>
        <v>581.65299999999934</v>
      </c>
      <c r="G9" s="115">
        <f t="shared" ref="G9:G12" si="0">+F9/$F$76</f>
        <v>9.8561444632170908E-4</v>
      </c>
      <c r="H9" s="114">
        <f>+[1]Gyvuliai!H8-[1]Gyvuliai!H7</f>
        <v>66890.094999999972</v>
      </c>
      <c r="I9" s="115">
        <f t="shared" ref="I9:I12" si="1">+H9/$H$76</f>
        <v>1.1090410379516343E-3</v>
      </c>
    </row>
    <row r="10" spans="2:12" ht="15.6" x14ac:dyDescent="0.3">
      <c r="B10" s="208"/>
      <c r="C10" s="113" t="s">
        <v>231</v>
      </c>
      <c r="D10" s="207"/>
      <c r="E10" s="208"/>
      <c r="F10" s="114">
        <f>+[1]Gyvuliai!F9-[1]Gyvuliai!F8</f>
        <v>249.28300000000036</v>
      </c>
      <c r="G10" s="115">
        <f t="shared" si="0"/>
        <v>4.2241151687073776E-4</v>
      </c>
      <c r="H10" s="114">
        <f>+[1]Gyvuliai!H9-[1]Gyvuliai!H8</f>
        <v>28667.545000000042</v>
      </c>
      <c r="I10" s="115">
        <f t="shared" si="1"/>
        <v>4.7530929448261726E-4</v>
      </c>
    </row>
    <row r="11" spans="2:12" ht="15.6" x14ac:dyDescent="0.3">
      <c r="B11" s="208"/>
      <c r="C11" s="113" t="s">
        <v>232</v>
      </c>
      <c r="D11" s="207"/>
      <c r="E11" s="208"/>
      <c r="F11" s="114">
        <v>1369.452</v>
      </c>
      <c r="G11" s="115">
        <f t="shared" si="0"/>
        <v>2.3205445080557627E-3</v>
      </c>
      <c r="H11" s="114">
        <v>157486.98000000001</v>
      </c>
      <c r="I11" s="115">
        <f t="shared" si="1"/>
        <v>2.6111418105037578E-3</v>
      </c>
    </row>
    <row r="12" spans="2:12" ht="15.6" x14ac:dyDescent="0.3">
      <c r="B12" s="208"/>
      <c r="C12" s="113" t="s">
        <v>233</v>
      </c>
      <c r="D12" s="207"/>
      <c r="E12" s="208"/>
      <c r="F12" s="114">
        <v>995.61699999999996</v>
      </c>
      <c r="G12" s="115">
        <f t="shared" si="0"/>
        <v>1.6870788910286409E-3</v>
      </c>
      <c r="H12" s="114">
        <v>114495.955</v>
      </c>
      <c r="I12" s="115">
        <f t="shared" si="1"/>
        <v>1.8983485189318936E-3</v>
      </c>
    </row>
    <row r="13" spans="2:12" ht="15.6" x14ac:dyDescent="0.3">
      <c r="B13" s="208"/>
      <c r="C13" s="113" t="s">
        <v>234</v>
      </c>
      <c r="D13" s="207"/>
      <c r="E13" s="208"/>
      <c r="F13" s="116">
        <v>7730.9000000000005</v>
      </c>
      <c r="G13" s="117">
        <f>+F13/F76</f>
        <v>1.310005574297478E-2</v>
      </c>
      <c r="H13" s="116">
        <v>889053.5</v>
      </c>
      <c r="I13" s="117">
        <f>+H13/H76</f>
        <v>1.474055039740239E-2</v>
      </c>
    </row>
    <row r="14" spans="2:12" ht="15.75" customHeight="1" x14ac:dyDescent="0.3">
      <c r="B14" s="208" t="s">
        <v>57</v>
      </c>
      <c r="C14" s="230" t="s">
        <v>147</v>
      </c>
      <c r="D14" s="230"/>
      <c r="E14" s="230"/>
      <c r="F14" s="230"/>
      <c r="G14" s="230"/>
      <c r="H14" s="230"/>
      <c r="I14" s="230"/>
    </row>
    <row r="15" spans="2:12" ht="15.6" x14ac:dyDescent="0.3">
      <c r="B15" s="208"/>
      <c r="C15" s="113" t="s">
        <v>228</v>
      </c>
      <c r="D15" s="207" t="s">
        <v>229</v>
      </c>
      <c r="E15" s="208">
        <v>90</v>
      </c>
      <c r="F15" s="114">
        <v>10157.749</v>
      </c>
      <c r="G15" s="115">
        <f>+F15/$F$76</f>
        <v>1.7212365717205799E-2</v>
      </c>
      <c r="H15" s="114">
        <v>914197.41</v>
      </c>
      <c r="I15" s="115">
        <f>+H15/$H$76</f>
        <v>1.5157437651704578E-2</v>
      </c>
    </row>
    <row r="16" spans="2:12" ht="15.6" x14ac:dyDescent="0.3">
      <c r="B16" s="208"/>
      <c r="C16" s="113" t="s">
        <v>230</v>
      </c>
      <c r="D16" s="207"/>
      <c r="E16" s="208"/>
      <c r="F16" s="114">
        <f>+[1]Gyvuliai!F15-[1]Gyvuliai!F14</f>
        <v>357.59400000000096</v>
      </c>
      <c r="G16" s="115">
        <f t="shared" ref="G16:G19" si="2">+F16/$F$76</f>
        <v>6.0594514653576365E-4</v>
      </c>
      <c r="H16" s="114">
        <f>+[1]Gyvuliai!H15-[1]Gyvuliai!H14</f>
        <v>32183.460000000079</v>
      </c>
      <c r="I16" s="115">
        <f t="shared" ref="I16:I19" si="3">+H16/$H$76</f>
        <v>5.3360333668647059E-4</v>
      </c>
    </row>
    <row r="17" spans="2:9" ht="15.6" x14ac:dyDescent="0.3">
      <c r="B17" s="208"/>
      <c r="C17" s="113" t="s">
        <v>231</v>
      </c>
      <c r="D17" s="207"/>
      <c r="E17" s="208"/>
      <c r="F17" s="114">
        <f>+[1]Gyvuliai!F16-[1]Gyvuliai!F15</f>
        <v>213.08899999999994</v>
      </c>
      <c r="G17" s="115">
        <f t="shared" si="2"/>
        <v>3.610805699484862E-4</v>
      </c>
      <c r="H17" s="114">
        <f>+[1]Gyvuliai!H16-[1]Gyvuliai!H15</f>
        <v>19178.010000000009</v>
      </c>
      <c r="I17" s="115">
        <f t="shared" si="3"/>
        <v>3.1797234128979544E-4</v>
      </c>
    </row>
    <row r="18" spans="2:9" ht="15.6" x14ac:dyDescent="0.3">
      <c r="B18" s="208"/>
      <c r="C18" s="113" t="s">
        <v>232</v>
      </c>
      <c r="D18" s="207"/>
      <c r="E18" s="208"/>
      <c r="F18" s="114">
        <v>1851.799</v>
      </c>
      <c r="G18" s="115">
        <f t="shared" si="2"/>
        <v>3.1378843504359069E-3</v>
      </c>
      <c r="H18" s="114">
        <v>166661.91</v>
      </c>
      <c r="I18" s="115">
        <f t="shared" si="3"/>
        <v>2.763262597450369E-3</v>
      </c>
    </row>
    <row r="19" spans="2:9" ht="15.6" x14ac:dyDescent="0.3">
      <c r="B19" s="208"/>
      <c r="C19" s="113" t="s">
        <v>233</v>
      </c>
      <c r="D19" s="207"/>
      <c r="E19" s="208"/>
      <c r="F19" s="114">
        <v>1873.307</v>
      </c>
      <c r="G19" s="115">
        <f t="shared" si="2"/>
        <v>3.1743297835575232E-3</v>
      </c>
      <c r="H19" s="114">
        <v>168597.63</v>
      </c>
      <c r="I19" s="115">
        <f t="shared" si="3"/>
        <v>2.7953569294734246E-3</v>
      </c>
    </row>
    <row r="20" spans="2:9" ht="15.6" x14ac:dyDescent="0.3">
      <c r="B20" s="208"/>
      <c r="C20" s="113" t="s">
        <v>234</v>
      </c>
      <c r="D20" s="207"/>
      <c r="E20" s="208"/>
      <c r="F20" s="116">
        <v>14453.538</v>
      </c>
      <c r="G20" s="117">
        <f t="shared" ref="G20" si="4">+F20/F76</f>
        <v>2.449160556768348E-2</v>
      </c>
      <c r="H20" s="116">
        <v>1300818.42</v>
      </c>
      <c r="I20" s="117">
        <f t="shared" ref="I20" si="5">+H20/H76</f>
        <v>2.1567632856604634E-2</v>
      </c>
    </row>
    <row r="21" spans="2:9" ht="15.75" customHeight="1" x14ac:dyDescent="0.3">
      <c r="B21" s="208" t="s">
        <v>59</v>
      </c>
      <c r="C21" s="230" t="s">
        <v>148</v>
      </c>
      <c r="D21" s="230"/>
      <c r="E21" s="230"/>
      <c r="F21" s="230"/>
      <c r="G21" s="230"/>
      <c r="H21" s="230"/>
      <c r="I21" s="230"/>
    </row>
    <row r="22" spans="2:9" ht="15.6" x14ac:dyDescent="0.3">
      <c r="B22" s="208"/>
      <c r="C22" s="113" t="s">
        <v>228</v>
      </c>
      <c r="D22" s="207" t="s">
        <v>229</v>
      </c>
      <c r="E22" s="208">
        <v>115</v>
      </c>
      <c r="F22" s="114">
        <v>182756.41800000001</v>
      </c>
      <c r="G22" s="115">
        <f>+F22/$F$76</f>
        <v>0.30968183047076009</v>
      </c>
      <c r="H22" s="114">
        <v>21016988.07</v>
      </c>
      <c r="I22" s="115">
        <f>+H22/$H$76</f>
        <v>0.34846268739444791</v>
      </c>
    </row>
    <row r="23" spans="2:9" ht="15.6" x14ac:dyDescent="0.3">
      <c r="B23" s="208"/>
      <c r="C23" s="113" t="s">
        <v>230</v>
      </c>
      <c r="D23" s="207"/>
      <c r="E23" s="208"/>
      <c r="F23" s="114">
        <f>+[1]Gyvuliai!F22-[1]Gyvuliai!F21</f>
        <v>30240.847999999998</v>
      </c>
      <c r="G23" s="115">
        <f t="shared" ref="G23:G26" si="6">+F23/$F$76</f>
        <v>5.1243295672538429E-2</v>
      </c>
      <c r="H23" s="114">
        <f>+[1]Gyvuliai!H22-[1]Gyvuliai!H21</f>
        <v>3477697.5199999996</v>
      </c>
      <c r="I23" s="115">
        <f t="shared" ref="I23:I26" si="7">+H23/$H$76</f>
        <v>5.7660394521231062E-2</v>
      </c>
    </row>
    <row r="24" spans="2:9" ht="15.6" x14ac:dyDescent="0.3">
      <c r="B24" s="208"/>
      <c r="C24" s="113" t="s">
        <v>231</v>
      </c>
      <c r="D24" s="207"/>
      <c r="E24" s="208"/>
      <c r="F24" s="114">
        <f>+[1]Gyvuliai!F23-[1]Gyvuliai!F22</f>
        <v>24800.04800000001</v>
      </c>
      <c r="G24" s="115">
        <f t="shared" si="6"/>
        <v>4.2023827915048738E-2</v>
      </c>
      <c r="H24" s="114">
        <f>+[1]Gyvuliai!H23-[1]Gyvuliai!H22</f>
        <v>2852005.5200000033</v>
      </c>
      <c r="I24" s="115">
        <f t="shared" si="7"/>
        <v>4.728639064041687E-2</v>
      </c>
    </row>
    <row r="25" spans="2:9" ht="15.6" x14ac:dyDescent="0.3">
      <c r="B25" s="208"/>
      <c r="C25" s="113" t="s">
        <v>232</v>
      </c>
      <c r="D25" s="207"/>
      <c r="E25" s="208"/>
      <c r="F25" s="114">
        <v>177292.71799999999</v>
      </c>
      <c r="G25" s="115">
        <f t="shared" si="6"/>
        <v>0.30042355852792146</v>
      </c>
      <c r="H25" s="114">
        <v>20388662.57</v>
      </c>
      <c r="I25" s="115">
        <f t="shared" si="7"/>
        <v>0.33804501995517339</v>
      </c>
    </row>
    <row r="26" spans="2:9" ht="15.6" x14ac:dyDescent="0.3">
      <c r="B26" s="208"/>
      <c r="C26" s="113" t="s">
        <v>233</v>
      </c>
      <c r="D26" s="207"/>
      <c r="E26" s="208"/>
      <c r="F26" s="114">
        <v>70691.933000000005</v>
      </c>
      <c r="G26" s="115">
        <f t="shared" si="6"/>
        <v>0.11978789828850953</v>
      </c>
      <c r="H26" s="114">
        <v>8129572.2950000009</v>
      </c>
      <c r="I26" s="115">
        <f t="shared" si="7"/>
        <v>0.13478870520590014</v>
      </c>
    </row>
    <row r="27" spans="2:9" ht="15.6" x14ac:dyDescent="0.3">
      <c r="B27" s="208"/>
      <c r="C27" s="113" t="s">
        <v>234</v>
      </c>
      <c r="D27" s="207"/>
      <c r="E27" s="208"/>
      <c r="F27" s="116">
        <v>485781.96500000003</v>
      </c>
      <c r="G27" s="117">
        <f t="shared" ref="G27" si="8">+F27/F76</f>
        <v>0.82316041087477831</v>
      </c>
      <c r="H27" s="116">
        <v>55864925.975000009</v>
      </c>
      <c r="I27" s="117">
        <f t="shared" ref="I27" si="9">+H27/H76</f>
        <v>0.92624319771716945</v>
      </c>
    </row>
    <row r="28" spans="2:9" ht="15.75" customHeight="1" x14ac:dyDescent="0.3">
      <c r="B28" s="208" t="s">
        <v>62</v>
      </c>
      <c r="C28" s="230" t="s">
        <v>149</v>
      </c>
      <c r="D28" s="230"/>
      <c r="E28" s="230"/>
      <c r="F28" s="230"/>
      <c r="G28" s="230"/>
      <c r="H28" s="230"/>
      <c r="I28" s="230"/>
    </row>
    <row r="29" spans="2:9" ht="15.6" x14ac:dyDescent="0.3">
      <c r="B29" s="208"/>
      <c r="C29" s="113" t="s">
        <v>228</v>
      </c>
      <c r="D29" s="207" t="s">
        <v>229</v>
      </c>
      <c r="E29" s="208">
        <v>30</v>
      </c>
      <c r="F29" s="114">
        <v>3131.5059999999999</v>
      </c>
      <c r="G29" s="115">
        <f>+F29/$F$76</f>
        <v>5.3063554255597632E-3</v>
      </c>
      <c r="H29" s="114">
        <v>93945.18</v>
      </c>
      <c r="I29" s="115">
        <f>+H29/$H$76</f>
        <v>1.5576156669795901E-3</v>
      </c>
    </row>
    <row r="30" spans="2:9" ht="15.6" x14ac:dyDescent="0.3">
      <c r="B30" s="208"/>
      <c r="C30" s="113" t="s">
        <v>230</v>
      </c>
      <c r="D30" s="207"/>
      <c r="E30" s="208"/>
      <c r="F30" s="114">
        <f>+[1]Gyvuliai!F29-[1]Gyvuliai!F28</f>
        <v>89.940000000000055</v>
      </c>
      <c r="G30" s="115">
        <f t="shared" ref="G30:G33" si="10">+F30/$F$76</f>
        <v>1.5240386158444066E-4</v>
      </c>
      <c r="H30" s="114">
        <f>+[1]Gyvuliai!H29-[1]Gyvuliai!H28</f>
        <v>2698.2000000000116</v>
      </c>
      <c r="I30" s="115">
        <f t="shared" ref="I30:I33" si="11">+H30/$H$76</f>
        <v>4.4736287616292274E-5</v>
      </c>
    </row>
    <row r="31" spans="2:9" ht="15.6" x14ac:dyDescent="0.3">
      <c r="B31" s="208"/>
      <c r="C31" s="113" t="s">
        <v>231</v>
      </c>
      <c r="D31" s="207"/>
      <c r="E31" s="208"/>
      <c r="F31" s="114">
        <f>+[1]Gyvuliai!F30-[1]Gyvuliai!F29</f>
        <v>156.79100000000017</v>
      </c>
      <c r="G31" s="115">
        <f t="shared" si="10"/>
        <v>2.6568327620286913E-4</v>
      </c>
      <c r="H31" s="114">
        <f>+[1]Gyvuliai!H30-[1]Gyvuliai!H29</f>
        <v>4703.7299999999959</v>
      </c>
      <c r="I31" s="115">
        <f t="shared" si="11"/>
        <v>7.7988072844630257E-5</v>
      </c>
    </row>
    <row r="32" spans="2:9" ht="15.6" x14ac:dyDescent="0.3">
      <c r="B32" s="208"/>
      <c r="C32" s="113" t="s">
        <v>232</v>
      </c>
      <c r="D32" s="207"/>
      <c r="E32" s="208"/>
      <c r="F32" s="114">
        <v>5007.8530000000001</v>
      </c>
      <c r="G32" s="115">
        <f t="shared" si="10"/>
        <v>8.485836507085006E-3</v>
      </c>
      <c r="H32" s="114">
        <v>150235.59</v>
      </c>
      <c r="I32" s="115">
        <f t="shared" si="11"/>
        <v>2.4909134105860699E-3</v>
      </c>
    </row>
    <row r="33" spans="2:9" ht="15.6" x14ac:dyDescent="0.3">
      <c r="B33" s="208"/>
      <c r="C33" s="113" t="s">
        <v>233</v>
      </c>
      <c r="D33" s="207"/>
      <c r="E33" s="208"/>
      <c r="F33" s="114">
        <v>34232.472000000002</v>
      </c>
      <c r="G33" s="115">
        <f t="shared" si="10"/>
        <v>5.8007126132768934E-2</v>
      </c>
      <c r="H33" s="114">
        <v>1026974.16</v>
      </c>
      <c r="I33" s="115">
        <f t="shared" si="11"/>
        <v>1.7027281667874865E-2</v>
      </c>
    </row>
    <row r="34" spans="2:9" ht="15.6" x14ac:dyDescent="0.3">
      <c r="B34" s="208"/>
      <c r="C34" s="113" t="s">
        <v>234</v>
      </c>
      <c r="D34" s="207"/>
      <c r="E34" s="208"/>
      <c r="F34" s="116">
        <v>42618.562000000005</v>
      </c>
      <c r="G34" s="117">
        <f t="shared" ref="G34" si="12">+F34/F76</f>
        <v>7.2217405203201024E-2</v>
      </c>
      <c r="H34" s="116">
        <v>1278556.8600000001</v>
      </c>
      <c r="I34" s="117">
        <f t="shared" ref="I34" si="13">+H34/H76</f>
        <v>2.1198535105901448E-2</v>
      </c>
    </row>
    <row r="35" spans="2:9" ht="15.75" customHeight="1" x14ac:dyDescent="0.3">
      <c r="B35" s="208" t="s">
        <v>68</v>
      </c>
      <c r="C35" s="230" t="s">
        <v>150</v>
      </c>
      <c r="D35" s="230"/>
      <c r="E35" s="230"/>
      <c r="F35" s="230"/>
      <c r="G35" s="230"/>
      <c r="H35" s="230"/>
      <c r="I35" s="230"/>
    </row>
    <row r="36" spans="2:9" ht="15.6" x14ac:dyDescent="0.3">
      <c r="B36" s="208"/>
      <c r="C36" s="113" t="s">
        <v>228</v>
      </c>
      <c r="D36" s="207" t="s">
        <v>229</v>
      </c>
      <c r="E36" s="208">
        <v>30</v>
      </c>
      <c r="F36" s="114">
        <v>907.89599999999996</v>
      </c>
      <c r="G36" s="115">
        <f>+F36/$F$76</f>
        <v>1.5384351380594535E-3</v>
      </c>
      <c r="H36" s="114">
        <v>27236.879999999997</v>
      </c>
      <c r="I36" s="115">
        <f>+H36/$H$76</f>
        <v>4.5158879899578734E-4</v>
      </c>
    </row>
    <row r="37" spans="2:9" ht="15.6" x14ac:dyDescent="0.3">
      <c r="B37" s="208"/>
      <c r="C37" s="113" t="s">
        <v>230</v>
      </c>
      <c r="D37" s="207"/>
      <c r="E37" s="208"/>
      <c r="F37" s="114">
        <f>+[1]Gyvuliai!F36-[1]Gyvuliai!F35</f>
        <v>43.632000000000062</v>
      </c>
      <c r="G37" s="115">
        <f t="shared" ref="G37:G40" si="14">+F37/$F$76</f>
        <v>7.3934681884059593E-5</v>
      </c>
      <c r="H37" s="114">
        <f>+[1]Gyvuliai!H36-[1]Gyvuliai!H35</f>
        <v>1308.9600000000028</v>
      </c>
      <c r="I37" s="115">
        <f t="shared" ref="I37:I40" si="15">+H37/$H$76</f>
        <v>2.170262065014521E-5</v>
      </c>
    </row>
    <row r="38" spans="2:9" ht="15.6" x14ac:dyDescent="0.3">
      <c r="B38" s="208"/>
      <c r="C38" s="113" t="s">
        <v>231</v>
      </c>
      <c r="D38" s="207"/>
      <c r="E38" s="208"/>
      <c r="F38" s="114">
        <f>+[1]Gyvuliai!F37-[1]Gyvuliai!F36</f>
        <v>2.2599999999999909</v>
      </c>
      <c r="G38" s="115">
        <f t="shared" si="14"/>
        <v>3.8295833575809903E-6</v>
      </c>
      <c r="H38" s="114">
        <f>+[1]Gyvuliai!H37-[1]Gyvuliai!H36</f>
        <v>67.799999999999272</v>
      </c>
      <c r="I38" s="115">
        <f t="shared" si="15"/>
        <v>1.1241273072361465E-6</v>
      </c>
    </row>
    <row r="39" spans="2:9" ht="15.6" x14ac:dyDescent="0.3">
      <c r="B39" s="208"/>
      <c r="C39" s="113" t="s">
        <v>232</v>
      </c>
      <c r="D39" s="207"/>
      <c r="E39" s="208"/>
      <c r="F39" s="114">
        <v>1893.4110000000001</v>
      </c>
      <c r="G39" s="115">
        <f t="shared" si="14"/>
        <v>3.2083961303808898E-3</v>
      </c>
      <c r="H39" s="114">
        <v>56802.33</v>
      </c>
      <c r="I39" s="115">
        <f t="shared" si="15"/>
        <v>9.4178540217757629E-4</v>
      </c>
    </row>
    <row r="40" spans="2:9" ht="15.6" x14ac:dyDescent="0.3">
      <c r="B40" s="208"/>
      <c r="C40" s="113" t="s">
        <v>233</v>
      </c>
      <c r="D40" s="207"/>
      <c r="E40" s="208"/>
      <c r="F40" s="114">
        <v>16054.071</v>
      </c>
      <c r="G40" s="115">
        <f t="shared" si="14"/>
        <v>2.7203718196028258E-2</v>
      </c>
      <c r="H40" s="114">
        <v>481622.13</v>
      </c>
      <c r="I40" s="115">
        <f t="shared" si="15"/>
        <v>7.9853184085876567E-3</v>
      </c>
    </row>
    <row r="41" spans="2:9" ht="15.6" x14ac:dyDescent="0.3">
      <c r="B41" s="208"/>
      <c r="C41" s="113" t="s">
        <v>234</v>
      </c>
      <c r="D41" s="207"/>
      <c r="E41" s="208"/>
      <c r="F41" s="116">
        <v>18901.27</v>
      </c>
      <c r="G41" s="117">
        <f t="shared" ref="G41" si="16">+F41/F76</f>
        <v>3.2028313729710239E-2</v>
      </c>
      <c r="H41" s="116">
        <v>567038.1</v>
      </c>
      <c r="I41" s="117">
        <f t="shared" ref="I41" si="17">+H41/H76</f>
        <v>9.4015193577184006E-3</v>
      </c>
    </row>
    <row r="42" spans="2:9" ht="15.75" customHeight="1" x14ac:dyDescent="0.3">
      <c r="B42" s="208" t="s">
        <v>76</v>
      </c>
      <c r="C42" s="230" t="s">
        <v>151</v>
      </c>
      <c r="D42" s="230"/>
      <c r="E42" s="230"/>
      <c r="F42" s="230"/>
      <c r="G42" s="230"/>
      <c r="H42" s="230"/>
      <c r="I42" s="230"/>
    </row>
    <row r="43" spans="2:9" ht="15.6" x14ac:dyDescent="0.3">
      <c r="B43" s="208"/>
      <c r="C43" s="113" t="s">
        <v>228</v>
      </c>
      <c r="D43" s="207" t="s">
        <v>229</v>
      </c>
      <c r="E43" s="208">
        <v>30</v>
      </c>
      <c r="F43" s="114">
        <v>2768.826</v>
      </c>
      <c r="G43" s="115">
        <f>+F43/$F$76</f>
        <v>4.6917920219635336E-3</v>
      </c>
      <c r="H43" s="114">
        <v>83064.78</v>
      </c>
      <c r="I43" s="115">
        <f>+H43/$H$76</f>
        <v>1.3772181042413557E-3</v>
      </c>
    </row>
    <row r="44" spans="2:9" ht="15.6" x14ac:dyDescent="0.3">
      <c r="B44" s="208"/>
      <c r="C44" s="113" t="s">
        <v>230</v>
      </c>
      <c r="D44" s="207"/>
      <c r="E44" s="208"/>
      <c r="F44" s="114">
        <f>+[1]Gyvuliai!F43-[1]Gyvuliai!F42</f>
        <v>451.63799999999992</v>
      </c>
      <c r="G44" s="115">
        <f t="shared" ref="G44:G47" si="18">+F44/$F$76</f>
        <v>7.6530326037662396E-4</v>
      </c>
      <c r="H44" s="114">
        <f>+[1]Gyvuliai!H43-[1]Gyvuliai!H42</f>
        <v>13549.14</v>
      </c>
      <c r="I44" s="115">
        <f t="shared" ref="I44:I47" si="19">+H44/$H$76</f>
        <v>2.2464540211748857E-4</v>
      </c>
    </row>
    <row r="45" spans="2:9" ht="15.6" x14ac:dyDescent="0.3">
      <c r="B45" s="208"/>
      <c r="C45" s="113" t="s">
        <v>231</v>
      </c>
      <c r="D45" s="207"/>
      <c r="E45" s="208"/>
      <c r="F45" s="114">
        <f>+[1]Gyvuliai!F44-[1]Gyvuliai!F43</f>
        <v>331.23599999999988</v>
      </c>
      <c r="G45" s="115">
        <f t="shared" si="18"/>
        <v>5.6128135974854059E-4</v>
      </c>
      <c r="H45" s="114">
        <f>+[1]Gyvuliai!H44-[1]Gyvuliai!H43</f>
        <v>9937.0800000000017</v>
      </c>
      <c r="I45" s="115">
        <f t="shared" si="19"/>
        <v>1.6475727112375056E-4</v>
      </c>
    </row>
    <row r="46" spans="2:9" ht="15.6" x14ac:dyDescent="0.3">
      <c r="B46" s="208"/>
      <c r="C46" s="113" t="s">
        <v>232</v>
      </c>
      <c r="D46" s="207"/>
      <c r="E46" s="208"/>
      <c r="F46" s="114">
        <v>5459.4110000000001</v>
      </c>
      <c r="G46" s="115">
        <f t="shared" si="18"/>
        <v>9.2510042069887961E-3</v>
      </c>
      <c r="H46" s="114">
        <v>163782.33000000002</v>
      </c>
      <c r="I46" s="115">
        <f t="shared" si="19"/>
        <v>2.7155190205864887E-3</v>
      </c>
    </row>
    <row r="47" spans="2:9" ht="15.6" x14ac:dyDescent="0.3">
      <c r="B47" s="208"/>
      <c r="C47" s="113" t="s">
        <v>233</v>
      </c>
      <c r="D47" s="207"/>
      <c r="E47" s="208"/>
      <c r="F47" s="114">
        <v>1333.3520000000001</v>
      </c>
      <c r="G47" s="115">
        <f t="shared" si="18"/>
        <v>2.2593728446890929E-3</v>
      </c>
      <c r="H47" s="114">
        <v>40000.560000000005</v>
      </c>
      <c r="I47" s="115">
        <f t="shared" si="19"/>
        <v>6.632112359990915E-4</v>
      </c>
    </row>
    <row r="48" spans="2:9" ht="15.6" x14ac:dyDescent="0.3">
      <c r="B48" s="208"/>
      <c r="C48" s="113" t="s">
        <v>234</v>
      </c>
      <c r="D48" s="207"/>
      <c r="E48" s="208"/>
      <c r="F48" s="116">
        <v>10344.463000000002</v>
      </c>
      <c r="G48" s="117">
        <f t="shared" ref="G48" si="20">+F48/F76</f>
        <v>1.752875369376659E-2</v>
      </c>
      <c r="H48" s="116">
        <v>310333.89</v>
      </c>
      <c r="I48" s="117">
        <f t="shared" ref="I48" si="21">+H48/H76</f>
        <v>5.1453510340681748E-3</v>
      </c>
    </row>
    <row r="49" spans="2:9" ht="15.6" x14ac:dyDescent="0.3">
      <c r="B49" s="208" t="s">
        <v>80</v>
      </c>
      <c r="C49" s="230" t="s">
        <v>152</v>
      </c>
      <c r="D49" s="230"/>
      <c r="E49" s="230"/>
      <c r="F49" s="230"/>
      <c r="G49" s="230"/>
      <c r="H49" s="230"/>
      <c r="I49" s="230"/>
    </row>
    <row r="50" spans="2:9" ht="15.6" x14ac:dyDescent="0.3">
      <c r="B50" s="208"/>
      <c r="C50" s="113" t="s">
        <v>228</v>
      </c>
      <c r="D50" s="207" t="s">
        <v>153</v>
      </c>
      <c r="E50" s="208">
        <v>10</v>
      </c>
      <c r="F50" s="114">
        <v>9251.1689999999999</v>
      </c>
      <c r="G50" s="115">
        <f>+F50/$F$76</f>
        <v>1.5676160548924477E-2</v>
      </c>
      <c r="H50" s="114">
        <v>92511.69</v>
      </c>
      <c r="I50" s="115">
        <f>+H50/$H$76</f>
        <v>1.5338483328549595E-3</v>
      </c>
    </row>
    <row r="51" spans="2:9" ht="15.6" x14ac:dyDescent="0.3">
      <c r="B51" s="208"/>
      <c r="C51" s="113" t="s">
        <v>230</v>
      </c>
      <c r="D51" s="207"/>
      <c r="E51" s="208"/>
      <c r="F51" s="114">
        <f>+[1]Gyvuliai!F50-[1]Gyvuliai!F49</f>
        <v>148.91699999999946</v>
      </c>
      <c r="G51" s="115">
        <f t="shared" ref="G51:G54" si="22">+F51/$F$76</f>
        <v>2.5234073666411002E-4</v>
      </c>
      <c r="H51" s="114">
        <f>+[1]Gyvuliai!H50-[1]Gyvuliai!H49</f>
        <v>1489.1699999999837</v>
      </c>
      <c r="I51" s="115">
        <f t="shared" ref="I51:I54" si="23">+H51/$H$76</f>
        <v>2.4690511240661532E-5</v>
      </c>
    </row>
    <row r="52" spans="2:9" ht="15.6" x14ac:dyDescent="0.3">
      <c r="B52" s="208"/>
      <c r="C52" s="113" t="s">
        <v>231</v>
      </c>
      <c r="D52" s="207"/>
      <c r="E52" s="208"/>
      <c r="F52" s="114">
        <f>+[1]Gyvuliai!F51-[1]Gyvuliai!F50</f>
        <v>637.25</v>
      </c>
      <c r="G52" s="115">
        <f t="shared" si="22"/>
        <v>1.0798238914241133E-3</v>
      </c>
      <c r="H52" s="114">
        <f>+[1]Gyvuliai!H51-[1]Gyvuliai!H50</f>
        <v>6372.5</v>
      </c>
      <c r="I52" s="115">
        <f t="shared" si="23"/>
        <v>1.056563608460534E-4</v>
      </c>
    </row>
    <row r="53" spans="2:9" ht="15.6" x14ac:dyDescent="0.3">
      <c r="B53" s="208"/>
      <c r="C53" s="113" t="s">
        <v>232</v>
      </c>
      <c r="D53" s="207"/>
      <c r="E53" s="208"/>
      <c r="F53" s="114">
        <v>149.583</v>
      </c>
      <c r="G53" s="115">
        <f t="shared" si="22"/>
        <v>2.5346927760046002E-4</v>
      </c>
      <c r="H53" s="114">
        <v>1495.83</v>
      </c>
      <c r="I53" s="115">
        <f t="shared" si="23"/>
        <v>2.4800934365531903E-5</v>
      </c>
    </row>
    <row r="54" spans="2:9" ht="15.6" x14ac:dyDescent="0.3">
      <c r="B54" s="208"/>
      <c r="C54" s="113" t="s">
        <v>233</v>
      </c>
      <c r="D54" s="207"/>
      <c r="E54" s="208"/>
      <c r="F54" s="114">
        <v>85.75</v>
      </c>
      <c r="G54" s="115">
        <f t="shared" si="22"/>
        <v>1.4530388181972179E-4</v>
      </c>
      <c r="H54" s="114">
        <v>857.5</v>
      </c>
      <c r="I54" s="115">
        <f t="shared" si="23"/>
        <v>1.4217391828244926E-5</v>
      </c>
    </row>
    <row r="55" spans="2:9" ht="15.6" x14ac:dyDescent="0.3">
      <c r="B55" s="208"/>
      <c r="C55" s="113" t="s">
        <v>234</v>
      </c>
      <c r="D55" s="207"/>
      <c r="E55" s="208"/>
      <c r="F55" s="116">
        <v>10272.669</v>
      </c>
      <c r="G55" s="117">
        <f t="shared" ref="G55" si="24">+F55/F76</f>
        <v>1.7407098336432884E-2</v>
      </c>
      <c r="H55" s="116">
        <v>102726.68999999999</v>
      </c>
      <c r="I55" s="117">
        <f t="shared" ref="I55" si="25">+H55/H76</f>
        <v>1.7032135311354515E-3</v>
      </c>
    </row>
    <row r="56" spans="2:9" ht="15.6" x14ac:dyDescent="0.3">
      <c r="B56" s="208" t="s">
        <v>129</v>
      </c>
      <c r="C56" s="230" t="s">
        <v>154</v>
      </c>
      <c r="D56" s="230"/>
      <c r="E56" s="230"/>
      <c r="F56" s="230"/>
      <c r="G56" s="230"/>
      <c r="H56" s="230"/>
      <c r="I56" s="230"/>
    </row>
    <row r="57" spans="2:9" ht="15.6" x14ac:dyDescent="0.3">
      <c r="B57" s="208"/>
      <c r="C57" s="113" t="s">
        <v>228</v>
      </c>
      <c r="D57" s="207" t="s">
        <v>122</v>
      </c>
      <c r="E57" s="208">
        <v>55</v>
      </c>
      <c r="F57" s="114">
        <v>0.59399999999999997</v>
      </c>
      <c r="G57" s="115">
        <f>+F57/$F$76</f>
        <v>1.0065365107978397E-6</v>
      </c>
      <c r="H57" s="114">
        <v>32.67</v>
      </c>
      <c r="I57" s="115">
        <f>+H57/$H$76</f>
        <v>5.4167019361954723E-7</v>
      </c>
    </row>
    <row r="58" spans="2:9" ht="15.6" x14ac:dyDescent="0.3">
      <c r="B58" s="208"/>
      <c r="C58" s="113" t="s">
        <v>230</v>
      </c>
      <c r="D58" s="207"/>
      <c r="E58" s="208"/>
      <c r="F58" s="114">
        <f>+[1]Gyvuliai!F57-[1]Gyvuliai!F56</f>
        <v>0</v>
      </c>
      <c r="G58" s="115">
        <f t="shared" ref="G58:G61" si="26">+F58/$F$76</f>
        <v>0</v>
      </c>
      <c r="H58" s="114">
        <v>0</v>
      </c>
      <c r="I58" s="115">
        <f t="shared" ref="I58:I61" si="27">+H58/$H$76</f>
        <v>0</v>
      </c>
    </row>
    <row r="59" spans="2:9" ht="15.6" x14ac:dyDescent="0.3">
      <c r="B59" s="208"/>
      <c r="C59" s="113" t="s">
        <v>231</v>
      </c>
      <c r="D59" s="207"/>
      <c r="E59" s="208"/>
      <c r="F59" s="114">
        <f>+[1]Gyvuliai!F58-[1]Gyvuliai!F57</f>
        <v>0</v>
      </c>
      <c r="G59" s="115">
        <f t="shared" si="26"/>
        <v>0</v>
      </c>
      <c r="H59" s="114">
        <v>0</v>
      </c>
      <c r="I59" s="115">
        <f t="shared" si="27"/>
        <v>0</v>
      </c>
    </row>
    <row r="60" spans="2:9" ht="15.6" x14ac:dyDescent="0.3">
      <c r="B60" s="208"/>
      <c r="C60" s="113" t="s">
        <v>232</v>
      </c>
      <c r="D60" s="207"/>
      <c r="E60" s="208"/>
      <c r="F60" s="114">
        <v>0.23300000000000001</v>
      </c>
      <c r="G60" s="115">
        <f t="shared" si="26"/>
        <v>3.9481987713113914E-7</v>
      </c>
      <c r="H60" s="114"/>
      <c r="I60" s="115">
        <f t="shared" si="27"/>
        <v>0</v>
      </c>
    </row>
    <row r="61" spans="2:9" ht="15.6" x14ac:dyDescent="0.3">
      <c r="B61" s="208"/>
      <c r="C61" s="113" t="s">
        <v>233</v>
      </c>
      <c r="D61" s="207"/>
      <c r="E61" s="208"/>
      <c r="F61" s="114">
        <v>0</v>
      </c>
      <c r="G61" s="115">
        <f t="shared" si="26"/>
        <v>0</v>
      </c>
      <c r="H61" s="114">
        <v>0</v>
      </c>
      <c r="I61" s="115">
        <f t="shared" si="27"/>
        <v>0</v>
      </c>
    </row>
    <row r="62" spans="2:9" ht="15.6" x14ac:dyDescent="0.3">
      <c r="B62" s="208"/>
      <c r="C62" s="113" t="s">
        <v>234</v>
      </c>
      <c r="D62" s="207"/>
      <c r="E62" s="208"/>
      <c r="F62" s="116">
        <v>0.82699999999999996</v>
      </c>
      <c r="G62" s="117">
        <f t="shared" ref="G62" si="28">+F62/F76</f>
        <v>1.4013563879289786E-6</v>
      </c>
      <c r="H62" s="116">
        <v>0</v>
      </c>
      <c r="I62" s="117">
        <f t="shared" ref="I62" si="29">+H62/H76</f>
        <v>0</v>
      </c>
    </row>
    <row r="63" spans="2:9" ht="15.6" x14ac:dyDescent="0.3">
      <c r="B63" s="208" t="s">
        <v>131</v>
      </c>
      <c r="C63" s="230" t="s">
        <v>155</v>
      </c>
      <c r="D63" s="230"/>
      <c r="E63" s="230"/>
      <c r="F63" s="230"/>
      <c r="G63" s="230"/>
      <c r="H63" s="230"/>
      <c r="I63" s="230"/>
    </row>
    <row r="64" spans="2:9" ht="15.6" x14ac:dyDescent="0.3">
      <c r="B64" s="208"/>
      <c r="C64" s="113" t="s">
        <v>228</v>
      </c>
      <c r="D64" s="207" t="s">
        <v>235</v>
      </c>
      <c r="E64" s="208">
        <v>7</v>
      </c>
      <c r="F64" s="114">
        <v>38.332999999999998</v>
      </c>
      <c r="G64" s="115">
        <f>+F64/$F$76</f>
        <v>6.495549506466933E-5</v>
      </c>
      <c r="H64" s="114">
        <v>268.33100000000002</v>
      </c>
      <c r="I64" s="115">
        <f>+H64/$H$76</f>
        <v>4.4489410689968394E-6</v>
      </c>
    </row>
    <row r="65" spans="2:9" ht="15.6" x14ac:dyDescent="0.3">
      <c r="B65" s="208"/>
      <c r="C65" s="113" t="s">
        <v>230</v>
      </c>
      <c r="D65" s="207"/>
      <c r="E65" s="208"/>
      <c r="F65" s="114">
        <f>+[1]Gyvuliai!F64-[1]Gyvuliai!F63</f>
        <v>0</v>
      </c>
      <c r="G65" s="115">
        <f t="shared" ref="G65:G68" si="30">+F65/$F$76</f>
        <v>0</v>
      </c>
      <c r="H65" s="114">
        <v>0</v>
      </c>
      <c r="I65" s="115">
        <f t="shared" ref="I65:I68" si="31">+H65/$H$76</f>
        <v>0</v>
      </c>
    </row>
    <row r="66" spans="2:9" ht="15.6" x14ac:dyDescent="0.3">
      <c r="B66" s="208"/>
      <c r="C66" s="113" t="s">
        <v>231</v>
      </c>
      <c r="D66" s="207"/>
      <c r="E66" s="208"/>
      <c r="F66" s="114">
        <f>+[1]Gyvuliai!F65-[1]Gyvuliai!F64</f>
        <v>0</v>
      </c>
      <c r="G66" s="115">
        <f t="shared" si="30"/>
        <v>0</v>
      </c>
      <c r="H66" s="114"/>
      <c r="I66" s="115">
        <f t="shared" si="31"/>
        <v>0</v>
      </c>
    </row>
    <row r="67" spans="2:9" ht="15.6" x14ac:dyDescent="0.3">
      <c r="B67" s="208"/>
      <c r="C67" s="113" t="s">
        <v>232</v>
      </c>
      <c r="D67" s="207"/>
      <c r="E67" s="208"/>
      <c r="F67" s="114">
        <v>0</v>
      </c>
      <c r="G67" s="115">
        <f t="shared" si="30"/>
        <v>0</v>
      </c>
      <c r="H67" s="114"/>
      <c r="I67" s="115">
        <f t="shared" si="31"/>
        <v>0</v>
      </c>
    </row>
    <row r="68" spans="2:9" ht="15.6" x14ac:dyDescent="0.3">
      <c r="B68" s="208"/>
      <c r="C68" s="113" t="s">
        <v>233</v>
      </c>
      <c r="D68" s="207"/>
      <c r="E68" s="208"/>
      <c r="F68" s="114">
        <v>0</v>
      </c>
      <c r="G68" s="115">
        <f t="shared" si="30"/>
        <v>0</v>
      </c>
      <c r="H68" s="114">
        <v>0</v>
      </c>
      <c r="I68" s="115">
        <f t="shared" si="31"/>
        <v>0</v>
      </c>
    </row>
    <row r="69" spans="2:9" ht="15.6" x14ac:dyDescent="0.3">
      <c r="B69" s="208"/>
      <c r="C69" s="113" t="s">
        <v>234</v>
      </c>
      <c r="D69" s="207"/>
      <c r="E69" s="208"/>
      <c r="F69" s="116">
        <v>38.332999999999998</v>
      </c>
      <c r="G69" s="117">
        <f t="shared" ref="G69" si="32">+F69/F76</f>
        <v>6.495549506466933E-5</v>
      </c>
      <c r="H69" s="116">
        <v>0</v>
      </c>
      <c r="I69" s="117">
        <f t="shared" ref="I69" si="33">+H69/H76</f>
        <v>0</v>
      </c>
    </row>
    <row r="70" spans="2:9" ht="15.6" x14ac:dyDescent="0.3">
      <c r="B70" s="208" t="s">
        <v>133</v>
      </c>
      <c r="C70" s="228" t="s">
        <v>236</v>
      </c>
      <c r="D70" s="228"/>
      <c r="E70" s="228"/>
      <c r="F70" s="228"/>
      <c r="G70" s="228"/>
      <c r="H70" s="228"/>
      <c r="I70" s="228"/>
    </row>
    <row r="71" spans="2:9" ht="15.6" x14ac:dyDescent="0.3">
      <c r="B71" s="227"/>
      <c r="C71" s="113" t="s">
        <v>228</v>
      </c>
      <c r="D71" s="229" t="s">
        <v>226</v>
      </c>
      <c r="E71" s="229"/>
      <c r="F71" s="114">
        <f>+F8+F15+F22+F29+F36+F43+F50+F57+F64</f>
        <v>213547.38600000003</v>
      </c>
      <c r="G71" s="121">
        <f>+F71/$F$76</f>
        <v>0.36185730773474656</v>
      </c>
      <c r="H71" s="114">
        <f t="shared" ref="F71:H76" si="34">+H8+H15+H22+H29+H36+H43+H50+H57+H64</f>
        <v>22749757.936000004</v>
      </c>
      <c r="I71" s="121">
        <f>+H71/$H$76</f>
        <v>0.37719209629601935</v>
      </c>
    </row>
    <row r="72" spans="2:9" ht="15.6" x14ac:dyDescent="0.3">
      <c r="B72" s="227"/>
      <c r="C72" s="113" t="s">
        <v>230</v>
      </c>
      <c r="D72" s="229"/>
      <c r="E72" s="229"/>
      <c r="F72" s="114">
        <f>+F9+F16+F23+F30+F37+F44+F51+F58+F65</f>
        <v>31914.221999999994</v>
      </c>
      <c r="G72" s="121">
        <f t="shared" ref="G72:G76" si="35">+F72/$F$76</f>
        <v>5.4078837805905125E-2</v>
      </c>
      <c r="H72" s="114">
        <f t="shared" si="34"/>
        <v>3595816.5449999999</v>
      </c>
      <c r="I72" s="121">
        <f t="shared" ref="I72:I76" si="36">+H72/$H$76</f>
        <v>5.9618813717493765E-2</v>
      </c>
    </row>
    <row r="73" spans="2:9" ht="15.6" x14ac:dyDescent="0.3">
      <c r="B73" s="227"/>
      <c r="C73" s="113" t="s">
        <v>231</v>
      </c>
      <c r="D73" s="229"/>
      <c r="E73" s="229"/>
      <c r="F73" s="114">
        <f t="shared" si="34"/>
        <v>26389.957000000009</v>
      </c>
      <c r="G73" s="121">
        <f t="shared" si="35"/>
        <v>4.4717938112601066E-2</v>
      </c>
      <c r="H73" s="114">
        <f t="shared" si="34"/>
        <v>2920932.1850000033</v>
      </c>
      <c r="I73" s="121">
        <f t="shared" si="36"/>
        <v>4.8429198108310957E-2</v>
      </c>
    </row>
    <row r="74" spans="2:9" ht="15.6" x14ac:dyDescent="0.3">
      <c r="B74" s="227"/>
      <c r="C74" s="113" t="s">
        <v>232</v>
      </c>
      <c r="D74" s="229"/>
      <c r="E74" s="229"/>
      <c r="F74" s="114">
        <f t="shared" si="34"/>
        <v>193024.46</v>
      </c>
      <c r="G74" s="121">
        <f t="shared" si="35"/>
        <v>0.32708108832834537</v>
      </c>
      <c r="H74" s="114">
        <f t="shared" si="34"/>
        <v>21085127.539999995</v>
      </c>
      <c r="I74" s="121">
        <f t="shared" si="36"/>
        <v>0.34959244313084314</v>
      </c>
    </row>
    <row r="75" spans="2:9" ht="15.6" x14ac:dyDescent="0.3">
      <c r="B75" s="227"/>
      <c r="C75" s="113" t="s">
        <v>233</v>
      </c>
      <c r="D75" s="229"/>
      <c r="E75" s="229"/>
      <c r="F75" s="114">
        <f t="shared" si="34"/>
        <v>125266.50199999999</v>
      </c>
      <c r="G75" s="121">
        <f t="shared" si="35"/>
        <v>0.21226482801840169</v>
      </c>
      <c r="H75" s="114">
        <f t="shared" si="34"/>
        <v>9962120.2300000023</v>
      </c>
      <c r="I75" s="121">
        <f t="shared" si="36"/>
        <v>0.16517243935859532</v>
      </c>
    </row>
    <row r="76" spans="2:9" ht="15.6" x14ac:dyDescent="0.3">
      <c r="B76" s="206"/>
      <c r="C76" s="113" t="s">
        <v>234</v>
      </c>
      <c r="D76" s="229"/>
      <c r="E76" s="229"/>
      <c r="F76" s="116">
        <f>+F13+F20+F27+F34+F41+F48+F55+F62+F69</f>
        <v>590142.52700000012</v>
      </c>
      <c r="G76" s="122">
        <f t="shared" si="35"/>
        <v>1</v>
      </c>
      <c r="H76" s="116">
        <f t="shared" si="34"/>
        <v>60313453.43500001</v>
      </c>
      <c r="I76" s="122">
        <f t="shared" si="36"/>
        <v>1</v>
      </c>
    </row>
  </sheetData>
  <mergeCells count="41">
    <mergeCell ref="B3:H3"/>
    <mergeCell ref="C6:I6"/>
    <mergeCell ref="B7:B13"/>
    <mergeCell ref="C7:I7"/>
    <mergeCell ref="D8:D13"/>
    <mergeCell ref="E8:E13"/>
    <mergeCell ref="B14:B20"/>
    <mergeCell ref="C14:I14"/>
    <mergeCell ref="D15:D20"/>
    <mergeCell ref="E15:E20"/>
    <mergeCell ref="B21:B27"/>
    <mergeCell ref="C21:I21"/>
    <mergeCell ref="D22:D27"/>
    <mergeCell ref="E22:E27"/>
    <mergeCell ref="B28:B34"/>
    <mergeCell ref="C28:I28"/>
    <mergeCell ref="D29:D34"/>
    <mergeCell ref="E29:E34"/>
    <mergeCell ref="B35:B41"/>
    <mergeCell ref="C35:I35"/>
    <mergeCell ref="D36:D41"/>
    <mergeCell ref="E36:E41"/>
    <mergeCell ref="B42:B48"/>
    <mergeCell ref="C42:I42"/>
    <mergeCell ref="D43:D48"/>
    <mergeCell ref="E43:E48"/>
    <mergeCell ref="B49:B55"/>
    <mergeCell ref="C49:I49"/>
    <mergeCell ref="D50:D55"/>
    <mergeCell ref="E50:E55"/>
    <mergeCell ref="B70:B76"/>
    <mergeCell ref="C70:I70"/>
    <mergeCell ref="D71:E76"/>
    <mergeCell ref="B56:B62"/>
    <mergeCell ref="C56:I56"/>
    <mergeCell ref="D57:D62"/>
    <mergeCell ref="E57:E62"/>
    <mergeCell ref="B63:B69"/>
    <mergeCell ref="C63:I63"/>
    <mergeCell ref="D64:D69"/>
    <mergeCell ref="E64:E69"/>
  </mergeCells>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08EE-7B12-4A1C-BA7F-C68956D89CF2}">
  <sheetPr>
    <tabColor theme="9" tint="0.79998168889431442"/>
  </sheetPr>
  <dimension ref="B1:K104"/>
  <sheetViews>
    <sheetView zoomScaleNormal="100" workbookViewId="0">
      <selection activeCell="O13" sqref="O13"/>
    </sheetView>
  </sheetViews>
  <sheetFormatPr defaultRowHeight="14.4" x14ac:dyDescent="0.3"/>
  <cols>
    <col min="1" max="1" width="1.44140625" customWidth="1"/>
    <col min="3" max="3" width="49.6640625" bestFit="1" customWidth="1"/>
    <col min="4" max="4" width="9.88671875" customWidth="1"/>
    <col min="5" max="5" width="11.88671875" customWidth="1"/>
    <col min="6" max="6" width="15" hidden="1" customWidth="1"/>
    <col min="7" max="7" width="0" hidden="1" customWidth="1"/>
    <col min="8" max="8" width="14.5546875" customWidth="1"/>
    <col min="9" max="9" width="11.44140625" customWidth="1"/>
    <col min="10" max="10" width="13.6640625" bestFit="1" customWidth="1"/>
    <col min="11" max="11" width="11.44140625" customWidth="1"/>
  </cols>
  <sheetData>
    <row r="1" spans="2:11" x14ac:dyDescent="0.3">
      <c r="K1" t="s">
        <v>189</v>
      </c>
    </row>
    <row r="2" spans="2:11" x14ac:dyDescent="0.3">
      <c r="I2" s="39" t="s">
        <v>188</v>
      </c>
    </row>
    <row r="3" spans="2:11" ht="15.6" x14ac:dyDescent="0.3">
      <c r="B3" s="231" t="s">
        <v>212</v>
      </c>
      <c r="C3" s="231"/>
      <c r="D3" s="231"/>
      <c r="E3" s="231"/>
      <c r="F3" s="231"/>
      <c r="G3" s="231"/>
      <c r="H3" s="231"/>
      <c r="I3" s="231"/>
      <c r="J3" s="231"/>
      <c r="K3" s="110"/>
    </row>
    <row r="4" spans="2:11" ht="15.6" x14ac:dyDescent="0.3">
      <c r="B4" s="111"/>
      <c r="C4" s="111"/>
      <c r="D4" s="111"/>
      <c r="E4" s="111"/>
      <c r="F4" s="111"/>
      <c r="G4" s="111"/>
      <c r="H4" s="111"/>
      <c r="I4" s="110"/>
      <c r="J4" s="10"/>
      <c r="K4" s="10"/>
    </row>
    <row r="5" spans="2:11" ht="115.5" customHeight="1" x14ac:dyDescent="0.3">
      <c r="B5" s="108" t="s">
        <v>43</v>
      </c>
      <c r="C5" s="109" t="s">
        <v>13</v>
      </c>
      <c r="D5" s="108" t="s">
        <v>112</v>
      </c>
      <c r="E5" s="108" t="s">
        <v>113</v>
      </c>
      <c r="F5" s="108" t="s">
        <v>213</v>
      </c>
      <c r="G5" s="108" t="s">
        <v>116</v>
      </c>
      <c r="H5" s="108" t="s">
        <v>214</v>
      </c>
      <c r="I5" s="108" t="s">
        <v>215</v>
      </c>
      <c r="J5" s="108" t="s">
        <v>216</v>
      </c>
      <c r="K5" s="108" t="s">
        <v>217</v>
      </c>
    </row>
    <row r="6" spans="2:11" ht="15.6" x14ac:dyDescent="0.3">
      <c r="B6" s="112" t="s">
        <v>119</v>
      </c>
      <c r="C6" s="228" t="s">
        <v>218</v>
      </c>
      <c r="D6" s="228"/>
      <c r="E6" s="228"/>
      <c r="F6" s="228"/>
      <c r="G6" s="228"/>
      <c r="H6" s="228"/>
      <c r="I6" s="228"/>
      <c r="J6" s="228"/>
      <c r="K6" s="228"/>
    </row>
    <row r="7" spans="2:11" ht="15.6" x14ac:dyDescent="0.3">
      <c r="B7" s="208" t="s">
        <v>54</v>
      </c>
      <c r="C7" s="207" t="s">
        <v>121</v>
      </c>
      <c r="D7" s="207"/>
      <c r="E7" s="207"/>
      <c r="F7" s="207"/>
      <c r="G7" s="207"/>
      <c r="H7" s="207"/>
      <c r="I7" s="207"/>
      <c r="J7" s="207"/>
      <c r="K7" s="207"/>
    </row>
    <row r="8" spans="2:11" ht="15.6" x14ac:dyDescent="0.3">
      <c r="B8" s="208"/>
      <c r="C8" s="113" t="s">
        <v>219</v>
      </c>
      <c r="D8" s="208" t="s">
        <v>122</v>
      </c>
      <c r="E8" s="208">
        <v>115</v>
      </c>
      <c r="F8" s="114">
        <v>69702</v>
      </c>
      <c r="G8" s="115">
        <v>0.254697331783999</v>
      </c>
      <c r="H8" s="114">
        <v>334130.25</v>
      </c>
      <c r="I8" s="115">
        <f>+H8/$H$104</f>
        <v>0.11590243688220704</v>
      </c>
      <c r="J8" s="114">
        <v>38424978.75</v>
      </c>
      <c r="K8" s="115">
        <f>+J8/$J$104</f>
        <v>0.16311848779748275</v>
      </c>
    </row>
    <row r="9" spans="2:11" ht="15.6" x14ac:dyDescent="0.3">
      <c r="B9" s="208"/>
      <c r="C9" s="113" t="s">
        <v>220</v>
      </c>
      <c r="D9" s="208"/>
      <c r="E9" s="208"/>
      <c r="F9" s="114">
        <v>71362</v>
      </c>
      <c r="G9" s="115">
        <v>0.25695294609036301</v>
      </c>
      <c r="H9" s="114">
        <f>+[1]Augalai!H8-[1]Augalai!H7</f>
        <v>57654.030000000028</v>
      </c>
      <c r="I9" s="115">
        <f t="shared" ref="I9:I12" si="0">+H9/$H$104</f>
        <v>1.9998915312456369E-2</v>
      </c>
      <c r="J9" s="114">
        <f>+[1]Augalai!J8-[1]Augalai!J7</f>
        <v>6630213.450000003</v>
      </c>
      <c r="K9" s="115">
        <f t="shared" ref="K9:K12" si="1">+J9/$J$104</f>
        <v>2.8146024459116497E-2</v>
      </c>
    </row>
    <row r="10" spans="2:11" ht="15.6" x14ac:dyDescent="0.3">
      <c r="B10" s="208"/>
      <c r="C10" s="113" t="s">
        <v>221</v>
      </c>
      <c r="D10" s="208"/>
      <c r="E10" s="208"/>
      <c r="F10" s="114">
        <v>72555</v>
      </c>
      <c r="G10" s="115">
        <v>0.258688924384609</v>
      </c>
      <c r="H10" s="114">
        <f>+[1]Augalai!H9-[1]Augalai!H8</f>
        <v>53434.649999999965</v>
      </c>
      <c r="I10" s="115">
        <f t="shared" si="0"/>
        <v>1.8535305166017806E-2</v>
      </c>
      <c r="J10" s="114">
        <f>+[1]Augalai!J9-[1]Augalai!J8</f>
        <v>6144984.7499999925</v>
      </c>
      <c r="K10" s="115">
        <f t="shared" si="1"/>
        <v>2.6086172395309169E-2</v>
      </c>
    </row>
    <row r="11" spans="2:11" ht="15.6" x14ac:dyDescent="0.3">
      <c r="B11" s="208"/>
      <c r="C11" s="113" t="s">
        <v>222</v>
      </c>
      <c r="D11" s="208"/>
      <c r="E11" s="208"/>
      <c r="F11" s="114">
        <v>6350</v>
      </c>
      <c r="G11" s="115">
        <v>0.58256880733945005</v>
      </c>
      <c r="H11" s="114">
        <v>823363.46</v>
      </c>
      <c r="I11" s="115">
        <f t="shared" si="0"/>
        <v>0.28560668019063107</v>
      </c>
      <c r="J11" s="114">
        <v>94686797.899999991</v>
      </c>
      <c r="K11" s="115">
        <f t="shared" si="1"/>
        <v>0.40195643017327276</v>
      </c>
    </row>
    <row r="12" spans="2:11" ht="15.6" x14ac:dyDescent="0.3">
      <c r="B12" s="208"/>
      <c r="C12" s="113" t="s">
        <v>223</v>
      </c>
      <c r="D12" s="208"/>
      <c r="E12" s="208"/>
      <c r="F12" s="114">
        <v>303</v>
      </c>
      <c r="G12" s="115">
        <v>0.84401114206128103</v>
      </c>
      <c r="H12" s="114">
        <v>287509.23</v>
      </c>
      <c r="I12" s="115">
        <f t="shared" si="0"/>
        <v>9.9730630145360821E-2</v>
      </c>
      <c r="J12" s="114">
        <v>33063561.449999999</v>
      </c>
      <c r="K12" s="115">
        <f t="shared" si="1"/>
        <v>0.14035865003368794</v>
      </c>
    </row>
    <row r="13" spans="2:11" ht="15.6" x14ac:dyDescent="0.3">
      <c r="B13" s="208"/>
      <c r="C13" s="113" t="s">
        <v>224</v>
      </c>
      <c r="D13" s="208"/>
      <c r="E13" s="208"/>
      <c r="F13" s="116">
        <v>79208</v>
      </c>
      <c r="G13" s="117"/>
      <c r="H13" s="116">
        <v>1556091.6199999999</v>
      </c>
      <c r="I13" s="117">
        <f>+H13/H104</f>
        <v>0.53977396769667307</v>
      </c>
      <c r="J13" s="116">
        <v>178950536.29999998</v>
      </c>
      <c r="K13" s="117">
        <f t="shared" ref="K13" si="2">+J13/J104</f>
        <v>0.75966576485886916</v>
      </c>
    </row>
    <row r="14" spans="2:11" ht="15.6" x14ac:dyDescent="0.3">
      <c r="B14" s="208" t="s">
        <v>57</v>
      </c>
      <c r="C14" s="207" t="s">
        <v>123</v>
      </c>
      <c r="D14" s="207"/>
      <c r="E14" s="207"/>
      <c r="F14" s="207"/>
      <c r="G14" s="207"/>
      <c r="H14" s="207"/>
      <c r="I14" s="207"/>
      <c r="J14" s="207"/>
      <c r="K14" s="207"/>
    </row>
    <row r="15" spans="2:11" ht="15.6" x14ac:dyDescent="0.3">
      <c r="B15" s="208"/>
      <c r="C15" s="113" t="s">
        <v>219</v>
      </c>
      <c r="D15" s="208" t="s">
        <v>122</v>
      </c>
      <c r="E15" s="208">
        <v>115</v>
      </c>
      <c r="F15" s="114">
        <v>8017</v>
      </c>
      <c r="G15" s="115">
        <v>2.9294833848559899E-2</v>
      </c>
      <c r="H15" s="114">
        <v>59422.28</v>
      </c>
      <c r="I15" s="115">
        <f>+H15/$H$104</f>
        <v>2.0612282357244917E-2</v>
      </c>
      <c r="J15" s="114">
        <v>6833562.2000000002</v>
      </c>
      <c r="K15" s="115">
        <f>+J15/$J$104</f>
        <v>2.9009263468598261E-2</v>
      </c>
    </row>
    <row r="16" spans="2:11" ht="15.6" x14ac:dyDescent="0.3">
      <c r="B16" s="208"/>
      <c r="C16" s="113" t="s">
        <v>220</v>
      </c>
      <c r="D16" s="208"/>
      <c r="E16" s="208"/>
      <c r="F16" s="114">
        <v>8518</v>
      </c>
      <c r="G16" s="115">
        <v>3.0670737854848699E-2</v>
      </c>
      <c r="H16" s="114">
        <f>+[1]Augalai!H15-[1]Augalai!H14</f>
        <v>17383.75</v>
      </c>
      <c r="I16" s="115">
        <f t="shared" ref="I16:I19" si="3">+H16/$H$104</f>
        <v>6.030040641788843E-3</v>
      </c>
      <c r="J16" s="114">
        <f>+[1]Augalai!J15-[1]Augalai!J14</f>
        <v>1999131.2499999991</v>
      </c>
      <c r="K16" s="115">
        <f t="shared" ref="K16:K19" si="4">+J16/$J$104</f>
        <v>8.4865438320819199E-3</v>
      </c>
    </row>
    <row r="17" spans="2:11" ht="15.6" x14ac:dyDescent="0.3">
      <c r="B17" s="208"/>
      <c r="C17" s="113" t="s">
        <v>221</v>
      </c>
      <c r="D17" s="208"/>
      <c r="E17" s="208"/>
      <c r="F17" s="114">
        <v>8918</v>
      </c>
      <c r="G17" s="115">
        <v>3.1796400353689497E-2</v>
      </c>
      <c r="H17" s="114">
        <f>+[1]Augalai!H16-[1]Augalai!H15</f>
        <v>17845.589999999997</v>
      </c>
      <c r="I17" s="115">
        <f t="shared" si="3"/>
        <v>6.1902427828690902E-3</v>
      </c>
      <c r="J17" s="114">
        <f>+[1]Augalai!J16-[1]Augalai!J15</f>
        <v>2052242.8499999996</v>
      </c>
      <c r="K17" s="115">
        <f t="shared" si="4"/>
        <v>8.7120087290925609E-3</v>
      </c>
    </row>
    <row r="18" spans="2:11" ht="15.6" x14ac:dyDescent="0.3">
      <c r="B18" s="208"/>
      <c r="C18" s="113" t="s">
        <v>222</v>
      </c>
      <c r="D18" s="208"/>
      <c r="E18" s="208"/>
      <c r="F18" s="114">
        <v>1223</v>
      </c>
      <c r="G18" s="115">
        <v>0.112201834862385</v>
      </c>
      <c r="H18" s="114">
        <v>143278.93</v>
      </c>
      <c r="I18" s="115">
        <f t="shared" si="3"/>
        <v>4.9700310405523473E-2</v>
      </c>
      <c r="J18" s="114">
        <v>16477076.949999999</v>
      </c>
      <c r="K18" s="115">
        <f t="shared" si="4"/>
        <v>6.9947101152443958E-2</v>
      </c>
    </row>
    <row r="19" spans="2:11" ht="15.6" x14ac:dyDescent="0.3">
      <c r="B19" s="208"/>
      <c r="C19" s="113" t="s">
        <v>223</v>
      </c>
      <c r="D19" s="208"/>
      <c r="E19" s="208"/>
      <c r="F19" s="114">
        <v>19</v>
      </c>
      <c r="G19" s="115">
        <v>5.2924791086351002E-2</v>
      </c>
      <c r="H19" s="114">
        <v>13209.8</v>
      </c>
      <c r="I19" s="115">
        <f t="shared" si="3"/>
        <v>4.5821891634372476E-3</v>
      </c>
      <c r="J19" s="114">
        <v>1519127</v>
      </c>
      <c r="K19" s="115">
        <f t="shared" si="4"/>
        <v>6.4488701639770357E-3</v>
      </c>
    </row>
    <row r="20" spans="2:11" ht="15.6" x14ac:dyDescent="0.3">
      <c r="B20" s="208"/>
      <c r="C20" s="113" t="s">
        <v>224</v>
      </c>
      <c r="D20" s="208"/>
      <c r="E20" s="208"/>
      <c r="F20" s="116">
        <v>10160</v>
      </c>
      <c r="G20" s="117"/>
      <c r="H20" s="116">
        <v>251140.34999999998</v>
      </c>
      <c r="I20" s="117">
        <f t="shared" ref="I20" si="5">+H20/H104</f>
        <v>8.7115065350863566E-2</v>
      </c>
      <c r="J20" s="116">
        <v>28881140.25</v>
      </c>
      <c r="K20" s="117">
        <f t="shared" ref="K20" si="6">+J20/J104</f>
        <v>0.12260378734619373</v>
      </c>
    </row>
    <row r="21" spans="2:11" ht="15.6" x14ac:dyDescent="0.3">
      <c r="B21" s="208" t="s">
        <v>59</v>
      </c>
      <c r="C21" s="207" t="s">
        <v>124</v>
      </c>
      <c r="D21" s="207"/>
      <c r="E21" s="207"/>
      <c r="F21" s="207"/>
      <c r="G21" s="207"/>
      <c r="H21" s="207"/>
      <c r="I21" s="207"/>
      <c r="J21" s="207"/>
      <c r="K21" s="207"/>
    </row>
    <row r="22" spans="2:11" ht="15.6" x14ac:dyDescent="0.3">
      <c r="B22" s="208"/>
      <c r="C22" s="113" t="s">
        <v>219</v>
      </c>
      <c r="D22" s="208" t="s">
        <v>122</v>
      </c>
      <c r="E22" s="208">
        <v>240</v>
      </c>
      <c r="F22" s="114">
        <v>27178</v>
      </c>
      <c r="G22" s="115">
        <v>9.9310838759655906E-2</v>
      </c>
      <c r="H22" s="114">
        <v>7455.3</v>
      </c>
      <c r="I22" s="115">
        <f>+H22/$H$104</f>
        <v>2.5860796431568774E-3</v>
      </c>
      <c r="J22" s="114">
        <v>1789272</v>
      </c>
      <c r="K22" s="115">
        <f>+J22/$J$104</f>
        <v>7.5956669956096616E-3</v>
      </c>
    </row>
    <row r="23" spans="2:11" ht="15.6" x14ac:dyDescent="0.3">
      <c r="B23" s="208"/>
      <c r="C23" s="113" t="s">
        <v>220</v>
      </c>
      <c r="D23" s="208"/>
      <c r="E23" s="208"/>
      <c r="F23" s="114">
        <v>27189</v>
      </c>
      <c r="G23" s="115">
        <v>9.7899353314801693E-2</v>
      </c>
      <c r="H23" s="114">
        <f>+[1]Augalai!H22-[1]Augalai!H21</f>
        <v>369.63000000000011</v>
      </c>
      <c r="I23" s="115">
        <f t="shared" ref="I23:I26" si="7">+H23/$H$104</f>
        <v>1.2821651959010058E-4</v>
      </c>
      <c r="J23" s="114">
        <f>+[1]Augalai!J22-[1]Augalai!J21</f>
        <v>88711.200000000186</v>
      </c>
      <c r="K23" s="115">
        <f t="shared" ref="K23:K26" si="8">+J23/$J$104</f>
        <v>3.7658932458616083E-4</v>
      </c>
    </row>
    <row r="24" spans="2:11" ht="15.6" x14ac:dyDescent="0.3">
      <c r="B24" s="208"/>
      <c r="C24" s="113" t="s">
        <v>221</v>
      </c>
      <c r="D24" s="208"/>
      <c r="E24" s="208"/>
      <c r="F24" s="114">
        <v>27197</v>
      </c>
      <c r="G24" s="115">
        <v>9.6968681365697806E-2</v>
      </c>
      <c r="H24" s="114">
        <f>+[1]Augalai!H23-[1]Augalai!H22</f>
        <v>366.61999999999989</v>
      </c>
      <c r="I24" s="115">
        <f t="shared" si="7"/>
        <v>1.2717241677386208E-4</v>
      </c>
      <c r="J24" s="114">
        <f>+[1]Augalai!J23-[1]Augalai!J22</f>
        <v>87988.799999999814</v>
      </c>
      <c r="K24" s="115">
        <f t="shared" si="8"/>
        <v>3.7352265286848393E-4</v>
      </c>
    </row>
    <row r="25" spans="2:11" ht="15.6" x14ac:dyDescent="0.3">
      <c r="B25" s="208"/>
      <c r="C25" s="113" t="s">
        <v>222</v>
      </c>
      <c r="D25" s="208"/>
      <c r="E25" s="208"/>
      <c r="F25" s="114">
        <v>24</v>
      </c>
      <c r="G25" s="115">
        <v>2.20183486238532E-3</v>
      </c>
      <c r="H25" s="114">
        <v>2348.59</v>
      </c>
      <c r="I25" s="115">
        <f t="shared" si="7"/>
        <v>8.1467423029546904E-4</v>
      </c>
      <c r="J25" s="114">
        <v>563661.60000000009</v>
      </c>
      <c r="K25" s="115">
        <f t="shared" si="8"/>
        <v>2.3928088137591913E-3</v>
      </c>
    </row>
    <row r="26" spans="2:11" ht="15.6" x14ac:dyDescent="0.3">
      <c r="B26" s="208"/>
      <c r="C26" s="113" t="s">
        <v>223</v>
      </c>
      <c r="D26" s="208"/>
      <c r="E26" s="208"/>
      <c r="F26" s="114">
        <v>0</v>
      </c>
      <c r="G26" s="118">
        <v>0</v>
      </c>
      <c r="H26" s="114">
        <v>0</v>
      </c>
      <c r="I26" s="115">
        <f t="shared" si="7"/>
        <v>0</v>
      </c>
      <c r="J26" s="114">
        <v>0</v>
      </c>
      <c r="K26" s="115">
        <f t="shared" si="8"/>
        <v>0</v>
      </c>
    </row>
    <row r="27" spans="2:11" ht="15.6" x14ac:dyDescent="0.3">
      <c r="B27" s="208"/>
      <c r="C27" s="113" t="s">
        <v>224</v>
      </c>
      <c r="D27" s="208"/>
      <c r="E27" s="208"/>
      <c r="F27" s="116">
        <v>27221</v>
      </c>
      <c r="G27" s="119"/>
      <c r="H27" s="116">
        <v>10540.14</v>
      </c>
      <c r="I27" s="117">
        <f t="shared" ref="I27" si="9">+H27/H104</f>
        <v>3.6561428098163089E-3</v>
      </c>
      <c r="J27" s="116">
        <v>2529633.6</v>
      </c>
      <c r="K27" s="117">
        <f t="shared" ref="K27" si="10">+J27/J104</f>
        <v>1.0738587786823498E-2</v>
      </c>
    </row>
    <row r="28" spans="2:11" ht="15.6" x14ac:dyDescent="0.3">
      <c r="B28" s="208" t="s">
        <v>62</v>
      </c>
      <c r="C28" s="207" t="s">
        <v>125</v>
      </c>
      <c r="D28" s="207"/>
      <c r="E28" s="207"/>
      <c r="F28" s="207"/>
      <c r="G28" s="207"/>
      <c r="H28" s="207"/>
      <c r="I28" s="207"/>
      <c r="J28" s="207"/>
      <c r="K28" s="207"/>
    </row>
    <row r="29" spans="2:11" ht="15.6" x14ac:dyDescent="0.3">
      <c r="B29" s="208"/>
      <c r="C29" s="113" t="s">
        <v>219</v>
      </c>
      <c r="D29" s="208" t="s">
        <v>122</v>
      </c>
      <c r="E29" s="208">
        <v>240</v>
      </c>
      <c r="F29" s="114">
        <v>1380</v>
      </c>
      <c r="G29" s="115">
        <v>5.0426432220297699E-3</v>
      </c>
      <c r="H29" s="114">
        <v>2388.0300000000002</v>
      </c>
      <c r="I29" s="115">
        <f>+H29/$H$104</f>
        <v>8.2835509909030055E-4</v>
      </c>
      <c r="J29" s="114">
        <v>573127.20000000007</v>
      </c>
      <c r="K29" s="115">
        <f>+J29/$J$104</f>
        <v>2.4329913827110567E-3</v>
      </c>
    </row>
    <row r="30" spans="2:11" ht="15.6" x14ac:dyDescent="0.3">
      <c r="B30" s="208"/>
      <c r="C30" s="113" t="s">
        <v>220</v>
      </c>
      <c r="D30" s="208"/>
      <c r="E30" s="208"/>
      <c r="F30" s="114">
        <v>1383</v>
      </c>
      <c r="G30" s="115">
        <v>4.9797640823263404E-3</v>
      </c>
      <c r="H30" s="114">
        <f>+[1]Augalai!H29-[1]Augalai!H28</f>
        <v>109.45999999999958</v>
      </c>
      <c r="I30" s="115">
        <f t="shared" ref="I30:I33" si="11">+H30/$H$104</f>
        <v>3.7969267197825804E-5</v>
      </c>
      <c r="J30" s="114">
        <f>+[1]Augalai!J29-[1]Augalai!J28</f>
        <v>26270.399999999907</v>
      </c>
      <c r="K30" s="115">
        <f t="shared" ref="K30:K33" si="12">+J30/$J$104</f>
        <v>1.1152089243081172E-4</v>
      </c>
    </row>
    <row r="31" spans="2:11" ht="15.6" x14ac:dyDescent="0.3">
      <c r="B31" s="208"/>
      <c r="C31" s="113" t="s">
        <v>221</v>
      </c>
      <c r="D31" s="208"/>
      <c r="E31" s="208"/>
      <c r="F31" s="114">
        <v>1388</v>
      </c>
      <c r="G31" s="115">
        <v>4.9488005932856001E-3</v>
      </c>
      <c r="H31" s="114">
        <f>+[1]Augalai!H30-[1]Augalai!H29</f>
        <v>216.99000000000024</v>
      </c>
      <c r="I31" s="115">
        <f t="shared" si="11"/>
        <v>7.5269059832416054E-5</v>
      </c>
      <c r="J31" s="114">
        <f>+[1]Augalai!J30-[1]Augalai!J29</f>
        <v>52077.599999999977</v>
      </c>
      <c r="K31" s="115">
        <f t="shared" si="12"/>
        <v>2.2107544718218445E-4</v>
      </c>
    </row>
    <row r="32" spans="2:11" ht="15.6" x14ac:dyDescent="0.3">
      <c r="B32" s="208"/>
      <c r="C32" s="113" t="s">
        <v>222</v>
      </c>
      <c r="D32" s="208"/>
      <c r="E32" s="208"/>
      <c r="F32" s="114">
        <v>23</v>
      </c>
      <c r="G32" s="115">
        <v>2.1100917431192698E-3</v>
      </c>
      <c r="H32" s="114">
        <v>2362.7600000000002</v>
      </c>
      <c r="I32" s="115">
        <f t="shared" si="11"/>
        <v>8.1958949172606657E-4</v>
      </c>
      <c r="J32" s="114">
        <v>567062.4</v>
      </c>
      <c r="K32" s="115">
        <f t="shared" si="12"/>
        <v>2.4072456038719682E-3</v>
      </c>
    </row>
    <row r="33" spans="2:11" ht="15.6" x14ac:dyDescent="0.3">
      <c r="B33" s="208"/>
      <c r="C33" s="113" t="s">
        <v>223</v>
      </c>
      <c r="D33" s="208"/>
      <c r="E33" s="208"/>
      <c r="F33" s="114">
        <v>0</v>
      </c>
      <c r="G33" s="118">
        <v>0</v>
      </c>
      <c r="H33" s="114">
        <v>0</v>
      </c>
      <c r="I33" s="115">
        <f t="shared" si="11"/>
        <v>0</v>
      </c>
      <c r="J33" s="114">
        <v>0</v>
      </c>
      <c r="K33" s="115">
        <f t="shared" si="12"/>
        <v>0</v>
      </c>
    </row>
    <row r="34" spans="2:11" ht="15.6" x14ac:dyDescent="0.3">
      <c r="B34" s="208"/>
      <c r="C34" s="113" t="s">
        <v>224</v>
      </c>
      <c r="D34" s="208"/>
      <c r="E34" s="208"/>
      <c r="F34" s="116">
        <v>1411</v>
      </c>
      <c r="G34" s="119"/>
      <c r="H34" s="116">
        <v>5077.24</v>
      </c>
      <c r="I34" s="117">
        <f t="shared" ref="I34" si="13">+H34/H104</f>
        <v>1.7611829178466089E-3</v>
      </c>
      <c r="J34" s="116">
        <v>1218537.6000000001</v>
      </c>
      <c r="K34" s="117">
        <f t="shared" ref="K34" si="14">+J34/J104</f>
        <v>5.1728333261960215E-3</v>
      </c>
    </row>
    <row r="35" spans="2:11" ht="15.6" x14ac:dyDescent="0.3">
      <c r="B35" s="208" t="s">
        <v>68</v>
      </c>
      <c r="C35" s="207" t="s">
        <v>126</v>
      </c>
      <c r="D35" s="207"/>
      <c r="E35" s="207"/>
      <c r="F35" s="207"/>
      <c r="G35" s="207"/>
      <c r="H35" s="207"/>
      <c r="I35" s="207"/>
      <c r="J35" s="207"/>
      <c r="K35" s="207"/>
    </row>
    <row r="36" spans="2:11" ht="15.6" x14ac:dyDescent="0.3">
      <c r="B36" s="208"/>
      <c r="C36" s="113" t="s">
        <v>219</v>
      </c>
      <c r="D36" s="208" t="s">
        <v>122</v>
      </c>
      <c r="E36" s="208">
        <v>150</v>
      </c>
      <c r="F36" s="114">
        <v>488</v>
      </c>
      <c r="G36" s="115">
        <v>1.7831955741670501E-3</v>
      </c>
      <c r="H36" s="114">
        <v>2458.67</v>
      </c>
      <c r="I36" s="115">
        <f>+H36/$H$104</f>
        <v>8.5285856186075937E-4</v>
      </c>
      <c r="J36" s="114">
        <v>368800.5</v>
      </c>
      <c r="K36" s="115">
        <f>+J36/$J$104</f>
        <v>1.5656008621463594E-3</v>
      </c>
    </row>
    <row r="37" spans="2:11" ht="15.6" x14ac:dyDescent="0.3">
      <c r="B37" s="208"/>
      <c r="C37" s="113" t="s">
        <v>220</v>
      </c>
      <c r="D37" s="208"/>
      <c r="E37" s="208"/>
      <c r="F37" s="114">
        <v>511</v>
      </c>
      <c r="G37" s="115">
        <v>1.8399562155233301E-3</v>
      </c>
      <c r="H37" s="114">
        <f>+[1]Augalai!H36-[1]Augalai!H35</f>
        <v>798.84999999999991</v>
      </c>
      <c r="I37" s="115">
        <f t="shared" ref="I37:I40" si="15">+H37/$H$104</f>
        <v>2.7710349991762521E-4</v>
      </c>
      <c r="J37" s="114">
        <f>+[1]Augalai!J36-[1]Augalai!J35</f>
        <v>119827.5</v>
      </c>
      <c r="K37" s="115">
        <f t="shared" ref="K37:K40" si="16">+J37/$J$104</f>
        <v>5.0868162409986671E-4</v>
      </c>
    </row>
    <row r="38" spans="2:11" ht="15.6" x14ac:dyDescent="0.3">
      <c r="B38" s="208"/>
      <c r="C38" s="113" t="s">
        <v>221</v>
      </c>
      <c r="D38" s="208"/>
      <c r="E38" s="208"/>
      <c r="F38" s="114">
        <v>534</v>
      </c>
      <c r="G38" s="115">
        <v>1.9039333694629099E-3</v>
      </c>
      <c r="H38" s="114">
        <f>+[1]Augalai!H37-[1]Augalai!H36</f>
        <v>1036.2099999999996</v>
      </c>
      <c r="I38" s="115">
        <f t="shared" si="15"/>
        <v>3.5943846485528237E-4</v>
      </c>
      <c r="J38" s="114">
        <f>+[1]Augalai!J37-[1]Augalai!J36</f>
        <v>155431.49999999988</v>
      </c>
      <c r="K38" s="115">
        <f t="shared" si="16"/>
        <v>6.5982473018529443E-4</v>
      </c>
    </row>
    <row r="39" spans="2:11" ht="15.6" x14ac:dyDescent="0.3">
      <c r="B39" s="208"/>
      <c r="C39" s="113" t="s">
        <v>222</v>
      </c>
      <c r="D39" s="208"/>
      <c r="E39" s="208"/>
      <c r="F39" s="114">
        <v>82</v>
      </c>
      <c r="G39" s="115">
        <v>7.5229357798165097E-3</v>
      </c>
      <c r="H39" s="114">
        <v>9778.32</v>
      </c>
      <c r="I39" s="115">
        <f t="shared" si="15"/>
        <v>3.3918842026845002E-3</v>
      </c>
      <c r="J39" s="114">
        <v>1466748</v>
      </c>
      <c r="K39" s="115">
        <f t="shared" si="16"/>
        <v>6.226515238866131E-3</v>
      </c>
    </row>
    <row r="40" spans="2:11" ht="15.6" x14ac:dyDescent="0.3">
      <c r="B40" s="208"/>
      <c r="C40" s="113" t="s">
        <v>223</v>
      </c>
      <c r="D40" s="208"/>
      <c r="E40" s="208"/>
      <c r="F40" s="114">
        <v>1</v>
      </c>
      <c r="G40" s="115">
        <v>2.7855153203342601E-3</v>
      </c>
      <c r="H40" s="114">
        <v>743.34</v>
      </c>
      <c r="I40" s="115">
        <f t="shared" si="15"/>
        <v>2.5784830146932159E-4</v>
      </c>
      <c r="J40" s="114">
        <v>111501</v>
      </c>
      <c r="K40" s="115">
        <f t="shared" si="16"/>
        <v>4.7333466665631208E-4</v>
      </c>
    </row>
    <row r="41" spans="2:11" ht="15.6" x14ac:dyDescent="0.3">
      <c r="B41" s="208"/>
      <c r="C41" s="113" t="s">
        <v>224</v>
      </c>
      <c r="D41" s="208"/>
      <c r="E41" s="208"/>
      <c r="F41" s="116">
        <v>617</v>
      </c>
      <c r="G41" s="117"/>
      <c r="H41" s="116">
        <v>14815.39</v>
      </c>
      <c r="I41" s="117">
        <f t="shared" ref="I41" si="17">+H41/H104</f>
        <v>5.1391330307874886E-3</v>
      </c>
      <c r="J41" s="116">
        <v>2222308.5</v>
      </c>
      <c r="K41" s="117">
        <f t="shared" ref="K41" si="18">+J41/J104</f>
        <v>9.433957121953964E-3</v>
      </c>
    </row>
    <row r="42" spans="2:11" ht="15.6" x14ac:dyDescent="0.3">
      <c r="B42" s="208" t="s">
        <v>76</v>
      </c>
      <c r="C42" s="207" t="s">
        <v>127</v>
      </c>
      <c r="D42" s="207"/>
      <c r="E42" s="207"/>
      <c r="F42" s="207"/>
      <c r="G42" s="207"/>
      <c r="H42" s="207"/>
      <c r="I42" s="207"/>
      <c r="J42" s="207"/>
      <c r="K42" s="207"/>
    </row>
    <row r="43" spans="2:11" ht="15.6" x14ac:dyDescent="0.3">
      <c r="B43" s="208"/>
      <c r="C43" s="113" t="s">
        <v>219</v>
      </c>
      <c r="D43" s="208" t="s">
        <v>122</v>
      </c>
      <c r="E43" s="208">
        <v>250</v>
      </c>
      <c r="F43" s="114">
        <v>3384</v>
      </c>
      <c r="G43" s="115">
        <v>1.23654381618469E-2</v>
      </c>
      <c r="H43" s="114">
        <v>2791.29</v>
      </c>
      <c r="I43" s="115">
        <f>+H43/$H$104</f>
        <v>9.6823712622528396E-4</v>
      </c>
      <c r="J43" s="114">
        <v>697822.5</v>
      </c>
      <c r="K43" s="115">
        <f>+J43/$J$104</f>
        <v>2.9623373819317703E-3</v>
      </c>
    </row>
    <row r="44" spans="2:11" ht="15.6" x14ac:dyDescent="0.3">
      <c r="B44" s="208"/>
      <c r="C44" s="113" t="s">
        <v>220</v>
      </c>
      <c r="D44" s="208"/>
      <c r="E44" s="208"/>
      <c r="F44" s="114">
        <v>3391</v>
      </c>
      <c r="G44" s="115">
        <v>1.22099638490012E-2</v>
      </c>
      <c r="H44" s="114">
        <f>+[1]Augalai!H43-[1]Augalai!H42</f>
        <v>237.55000000000018</v>
      </c>
      <c r="I44" s="115">
        <f t="shared" ref="I44:I47" si="19">+H44/$H$104</f>
        <v>8.2400871759944828E-5</v>
      </c>
      <c r="J44" s="114">
        <f>+[1]Augalai!J43-[1]Augalai!J42</f>
        <v>59387.5</v>
      </c>
      <c r="K44" s="115">
        <f t="shared" ref="K44:K47" si="20">+J44/$J$104</f>
        <v>2.5210681981373918E-4</v>
      </c>
    </row>
    <row r="45" spans="2:11" ht="15.6" x14ac:dyDescent="0.3">
      <c r="B45" s="208"/>
      <c r="C45" s="113" t="s">
        <v>221</v>
      </c>
      <c r="D45" s="208"/>
      <c r="E45" s="208"/>
      <c r="F45" s="114">
        <v>3394</v>
      </c>
      <c r="G45" s="115">
        <v>1.21010296928036E-2</v>
      </c>
      <c r="H45" s="114">
        <f>+[1]Augalai!H44-[1]Augalai!H43</f>
        <v>140.13999999999987</v>
      </c>
      <c r="I45" s="115">
        <f t="shared" si="19"/>
        <v>4.8611484607192793E-5</v>
      </c>
      <c r="J45" s="114">
        <f>+[1]Augalai!J44-[1]Augalai!J43</f>
        <v>35035</v>
      </c>
      <c r="K45" s="115">
        <f t="shared" si="20"/>
        <v>1.4872763514501121E-4</v>
      </c>
    </row>
    <row r="46" spans="2:11" ht="15.6" x14ac:dyDescent="0.3">
      <c r="B46" s="208"/>
      <c r="C46" s="113" t="s">
        <v>222</v>
      </c>
      <c r="D46" s="208"/>
      <c r="E46" s="208"/>
      <c r="F46" s="114">
        <v>14</v>
      </c>
      <c r="G46" s="115">
        <v>1.2844036697247699E-3</v>
      </c>
      <c r="H46" s="114">
        <v>1781.94</v>
      </c>
      <c r="I46" s="115">
        <f t="shared" si="19"/>
        <v>6.1811580477337807E-4</v>
      </c>
      <c r="J46" s="114">
        <v>445485</v>
      </c>
      <c r="K46" s="115">
        <f t="shared" si="20"/>
        <v>1.8911354514792441E-3</v>
      </c>
    </row>
    <row r="47" spans="2:11" ht="15.6" x14ac:dyDescent="0.3">
      <c r="B47" s="208"/>
      <c r="C47" s="113" t="s">
        <v>223</v>
      </c>
      <c r="D47" s="208"/>
      <c r="E47" s="208"/>
      <c r="F47" s="114">
        <v>0</v>
      </c>
      <c r="G47" s="118">
        <v>0</v>
      </c>
      <c r="H47" s="114">
        <v>0</v>
      </c>
      <c r="I47" s="115">
        <f t="shared" si="19"/>
        <v>0</v>
      </c>
      <c r="J47" s="114">
        <v>0</v>
      </c>
      <c r="K47" s="115">
        <f t="shared" si="20"/>
        <v>0</v>
      </c>
    </row>
    <row r="48" spans="2:11" ht="15.6" x14ac:dyDescent="0.3">
      <c r="B48" s="208"/>
      <c r="C48" s="113" t="s">
        <v>224</v>
      </c>
      <c r="D48" s="208"/>
      <c r="E48" s="208"/>
      <c r="F48" s="116">
        <v>3408</v>
      </c>
      <c r="G48" s="119"/>
      <c r="H48" s="116">
        <v>4950.92</v>
      </c>
      <c r="I48" s="117">
        <f t="shared" ref="I48" si="21">+H48/H104</f>
        <v>1.7173652873657998E-3</v>
      </c>
      <c r="J48" s="116">
        <v>1237730</v>
      </c>
      <c r="K48" s="117">
        <f t="shared" ref="K48" si="22">+J48/J104</f>
        <v>5.2543072883697653E-3</v>
      </c>
    </row>
    <row r="49" spans="2:11" ht="15.6" x14ac:dyDescent="0.3">
      <c r="B49" s="208" t="s">
        <v>80</v>
      </c>
      <c r="C49" s="207" t="s">
        <v>128</v>
      </c>
      <c r="D49" s="207"/>
      <c r="E49" s="207"/>
      <c r="F49" s="207"/>
      <c r="G49" s="207"/>
      <c r="H49" s="207"/>
      <c r="I49" s="207"/>
      <c r="J49" s="207"/>
      <c r="K49" s="207"/>
    </row>
    <row r="50" spans="2:11" ht="15.6" x14ac:dyDescent="0.3">
      <c r="B50" s="208"/>
      <c r="C50" s="113" t="s">
        <v>219</v>
      </c>
      <c r="D50" s="208" t="s">
        <v>122</v>
      </c>
      <c r="E50" s="208">
        <v>150</v>
      </c>
      <c r="F50" s="114">
        <v>10106</v>
      </c>
      <c r="G50" s="115">
        <v>3.6928226378139799E-2</v>
      </c>
      <c r="H50" s="114">
        <v>7024.14</v>
      </c>
      <c r="I50" s="115">
        <f>+H50/$H$104</f>
        <v>2.4365197194859962E-3</v>
      </c>
      <c r="J50" s="114">
        <v>1053621</v>
      </c>
      <c r="K50" s="115">
        <f>+J50/$J$104</f>
        <v>4.4727432472990393E-3</v>
      </c>
    </row>
    <row r="51" spans="2:11" ht="15.6" x14ac:dyDescent="0.3">
      <c r="B51" s="208"/>
      <c r="C51" s="113" t="s">
        <v>220</v>
      </c>
      <c r="D51" s="208"/>
      <c r="E51" s="208"/>
      <c r="F51" s="114">
        <v>10126</v>
      </c>
      <c r="G51" s="115">
        <v>3.6460658783540503E-2</v>
      </c>
      <c r="H51" s="114">
        <f>+[1]Augalai!H50-[1]Augalai!H49</f>
        <v>687.72999999999956</v>
      </c>
      <c r="I51" s="115">
        <f t="shared" ref="I51:I54" si="23">+H51/$H$104</f>
        <v>2.3855841521981382E-4</v>
      </c>
      <c r="J51" s="114">
        <f>+[1]Augalai!J50-[1]Augalai!J49</f>
        <v>103159.5</v>
      </c>
      <c r="K51" s="115">
        <f t="shared" ref="K51:K54" si="24">+J51/$J$104</f>
        <v>4.3792403247443364E-4</v>
      </c>
    </row>
    <row r="52" spans="2:11" ht="15.6" x14ac:dyDescent="0.3">
      <c r="B52" s="208"/>
      <c r="C52" s="113" t="s">
        <v>221</v>
      </c>
      <c r="D52" s="208"/>
      <c r="E52" s="208"/>
      <c r="F52" s="114">
        <v>10138</v>
      </c>
      <c r="G52" s="115">
        <v>3.6146210673436201E-2</v>
      </c>
      <c r="H52" s="114">
        <f>+[1]Augalai!H51-[1]Augalai!H50</f>
        <v>528.61999999999989</v>
      </c>
      <c r="I52" s="115">
        <f t="shared" si="23"/>
        <v>1.8336665472423486E-4</v>
      </c>
      <c r="J52" s="114">
        <f>+[1]Augalai!J51-[1]Augalai!J50</f>
        <v>79293</v>
      </c>
      <c r="K52" s="115">
        <f t="shared" si="24"/>
        <v>3.3660797412739756E-4</v>
      </c>
    </row>
    <row r="53" spans="2:11" ht="15.6" x14ac:dyDescent="0.3">
      <c r="B53" s="208"/>
      <c r="C53" s="113" t="s">
        <v>222</v>
      </c>
      <c r="D53" s="208"/>
      <c r="E53" s="208"/>
      <c r="F53" s="114">
        <v>27</v>
      </c>
      <c r="G53" s="115">
        <v>2.4770642201834901E-3</v>
      </c>
      <c r="H53" s="114">
        <v>2168.23</v>
      </c>
      <c r="I53" s="115">
        <f t="shared" si="23"/>
        <v>7.5211131204405398E-4</v>
      </c>
      <c r="J53" s="114">
        <v>325234.5</v>
      </c>
      <c r="K53" s="115">
        <f t="shared" si="24"/>
        <v>1.3806581433586456E-3</v>
      </c>
    </row>
    <row r="54" spans="2:11" ht="15.6" x14ac:dyDescent="0.3">
      <c r="B54" s="208"/>
      <c r="C54" s="113" t="s">
        <v>223</v>
      </c>
      <c r="D54" s="208"/>
      <c r="E54" s="208"/>
      <c r="F54" s="114">
        <v>0</v>
      </c>
      <c r="G54" s="118">
        <v>0</v>
      </c>
      <c r="H54" s="114">
        <v>0</v>
      </c>
      <c r="I54" s="115">
        <f t="shared" si="23"/>
        <v>0</v>
      </c>
      <c r="J54" s="114">
        <v>0</v>
      </c>
      <c r="K54" s="115">
        <f t="shared" si="24"/>
        <v>0</v>
      </c>
    </row>
    <row r="55" spans="2:11" ht="15.6" x14ac:dyDescent="0.3">
      <c r="B55" s="208"/>
      <c r="C55" s="113" t="s">
        <v>224</v>
      </c>
      <c r="D55" s="208"/>
      <c r="E55" s="208"/>
      <c r="F55" s="116">
        <v>10165</v>
      </c>
      <c r="G55" s="119"/>
      <c r="H55" s="116">
        <v>10408.719999999999</v>
      </c>
      <c r="I55" s="117">
        <f t="shared" ref="I55" si="25">+H55/H104</f>
        <v>3.6105561014740987E-3</v>
      </c>
      <c r="J55" s="116">
        <v>1561308</v>
      </c>
      <c r="K55" s="117">
        <f t="shared" ref="K55" si="26">+J55/J104</f>
        <v>6.627933397259516E-3</v>
      </c>
    </row>
    <row r="56" spans="2:11" ht="15.6" x14ac:dyDescent="0.3">
      <c r="B56" s="208" t="s">
        <v>129</v>
      </c>
      <c r="C56" s="207" t="s">
        <v>130</v>
      </c>
      <c r="D56" s="207"/>
      <c r="E56" s="207"/>
      <c r="F56" s="207"/>
      <c r="G56" s="207"/>
      <c r="H56" s="207"/>
      <c r="I56" s="207"/>
      <c r="J56" s="207"/>
      <c r="K56" s="207"/>
    </row>
    <row r="57" spans="2:11" ht="15.6" x14ac:dyDescent="0.3">
      <c r="B57" s="208"/>
      <c r="C57" s="113" t="s">
        <v>219</v>
      </c>
      <c r="D57" s="208" t="s">
        <v>122</v>
      </c>
      <c r="E57" s="208">
        <v>115</v>
      </c>
      <c r="F57" s="114">
        <v>264</v>
      </c>
      <c r="G57" s="115">
        <v>9.6467957291004403E-4</v>
      </c>
      <c r="H57" s="114">
        <v>1876.6</v>
      </c>
      <c r="I57" s="115">
        <f>+H57/$H$104</f>
        <v>6.5095127739302184E-4</v>
      </c>
      <c r="J57" s="114">
        <v>215809</v>
      </c>
      <c r="K57" s="115">
        <f>+J57/$J$104</f>
        <v>9.1613421472840648E-4</v>
      </c>
    </row>
    <row r="58" spans="2:11" ht="15.6" x14ac:dyDescent="0.3">
      <c r="B58" s="208"/>
      <c r="C58" s="113" t="s">
        <v>220</v>
      </c>
      <c r="D58" s="208"/>
      <c r="E58" s="208"/>
      <c r="F58" s="114">
        <v>275</v>
      </c>
      <c r="G58" s="115">
        <v>9.9019170111333608E-4</v>
      </c>
      <c r="H58" s="114">
        <f>+[1]Augalai!H57-[1]Augalai!H56</f>
        <v>390.55999999999995</v>
      </c>
      <c r="I58" s="115">
        <f t="shared" ref="I58:I61" si="27">+H58/$H$104</f>
        <v>1.3547667638208385E-4</v>
      </c>
      <c r="J58" s="114">
        <f>+[1]Augalai!J57-[1]Augalai!J56</f>
        <v>44914.399999999994</v>
      </c>
      <c r="K58" s="115">
        <f t="shared" ref="K58:K61" si="28">+J58/$J$104</f>
        <v>1.9066683305143687E-4</v>
      </c>
    </row>
    <row r="59" spans="2:11" ht="15.6" x14ac:dyDescent="0.3">
      <c r="B59" s="208"/>
      <c r="C59" s="113" t="s">
        <v>221</v>
      </c>
      <c r="D59" s="208"/>
      <c r="E59" s="208"/>
      <c r="F59" s="114">
        <v>287</v>
      </c>
      <c r="G59" s="115">
        <v>1.02327505062894E-3</v>
      </c>
      <c r="H59" s="114">
        <f>+[1]Augalai!H58-[1]Augalai!H57</f>
        <v>537.05999999999995</v>
      </c>
      <c r="I59" s="115">
        <f t="shared" si="27"/>
        <v>1.8629430514584689E-4</v>
      </c>
      <c r="J59" s="114">
        <f>+[1]Augalai!J58-[1]Augalai!J57</f>
        <v>61761.899999999994</v>
      </c>
      <c r="K59" s="115">
        <f t="shared" si="28"/>
        <v>2.6218642297881167E-4</v>
      </c>
    </row>
    <row r="60" spans="2:11" ht="15.6" x14ac:dyDescent="0.3">
      <c r="B60" s="208"/>
      <c r="C60" s="113" t="s">
        <v>222</v>
      </c>
      <c r="D60" s="208"/>
      <c r="E60" s="208"/>
      <c r="F60" s="114">
        <v>47</v>
      </c>
      <c r="G60" s="115">
        <v>4.3119266055045898E-3</v>
      </c>
      <c r="H60" s="114">
        <v>5739.91</v>
      </c>
      <c r="I60" s="115">
        <f t="shared" si="27"/>
        <v>1.9910485700847169E-3</v>
      </c>
      <c r="J60" s="114">
        <v>660089.65</v>
      </c>
      <c r="K60" s="115">
        <f t="shared" si="28"/>
        <v>2.8021570608876309E-3</v>
      </c>
    </row>
    <row r="61" spans="2:11" ht="15.6" x14ac:dyDescent="0.3">
      <c r="B61" s="208"/>
      <c r="C61" s="113" t="s">
        <v>223</v>
      </c>
      <c r="D61" s="208"/>
      <c r="E61" s="208"/>
      <c r="F61" s="114">
        <v>2</v>
      </c>
      <c r="G61" s="115">
        <v>5.5710306406685202E-3</v>
      </c>
      <c r="H61" s="114">
        <v>1090.48</v>
      </c>
      <c r="I61" s="115">
        <f t="shared" si="27"/>
        <v>3.782635345686574E-4</v>
      </c>
      <c r="J61" s="114">
        <v>125405.2</v>
      </c>
      <c r="K61" s="115">
        <f t="shared" si="28"/>
        <v>5.3235960698978617E-4</v>
      </c>
    </row>
    <row r="62" spans="2:11" ht="15.6" x14ac:dyDescent="0.3">
      <c r="B62" s="208"/>
      <c r="C62" s="113" t="s">
        <v>224</v>
      </c>
      <c r="D62" s="208"/>
      <c r="E62" s="208"/>
      <c r="F62" s="116">
        <v>336</v>
      </c>
      <c r="G62" s="117"/>
      <c r="H62" s="116">
        <v>9634.6099999999988</v>
      </c>
      <c r="I62" s="117">
        <f t="shared" ref="I62" si="29">+H62/H104</f>
        <v>3.3420343635743267E-3</v>
      </c>
      <c r="J62" s="116">
        <v>1107980.1499999999</v>
      </c>
      <c r="K62" s="117">
        <f t="shared" ref="K62" si="30">+J62/J104</f>
        <v>4.7035041386360712E-3</v>
      </c>
    </row>
    <row r="63" spans="2:11" ht="15.6" x14ac:dyDescent="0.3">
      <c r="B63" s="208" t="s">
        <v>131</v>
      </c>
      <c r="C63" s="207" t="s">
        <v>132</v>
      </c>
      <c r="D63" s="207"/>
      <c r="E63" s="207"/>
      <c r="F63" s="207"/>
      <c r="G63" s="207"/>
      <c r="H63" s="207"/>
      <c r="I63" s="207"/>
      <c r="J63" s="207"/>
      <c r="K63" s="207"/>
    </row>
    <row r="64" spans="2:11" ht="15.6" x14ac:dyDescent="0.3">
      <c r="B64" s="208"/>
      <c r="C64" s="113" t="s">
        <v>219</v>
      </c>
      <c r="D64" s="208" t="s">
        <v>122</v>
      </c>
      <c r="E64" s="208">
        <v>12</v>
      </c>
      <c r="F64" s="114">
        <v>99117</v>
      </c>
      <c r="G64" s="115">
        <v>0.36218236828835199</v>
      </c>
      <c r="H64" s="114">
        <v>510884.29</v>
      </c>
      <c r="I64" s="115">
        <f>+H64/$H$104</f>
        <v>0.17721452689732867</v>
      </c>
      <c r="J64" s="114">
        <v>6130611.4799999995</v>
      </c>
      <c r="K64" s="115">
        <f>+J64/$J$104</f>
        <v>2.6025156198466022E-2</v>
      </c>
    </row>
    <row r="65" spans="2:11" ht="15.6" x14ac:dyDescent="0.3">
      <c r="B65" s="208"/>
      <c r="C65" s="113" t="s">
        <v>220</v>
      </c>
      <c r="D65" s="208"/>
      <c r="E65" s="208"/>
      <c r="F65" s="114">
        <v>100796</v>
      </c>
      <c r="G65" s="115">
        <v>0.36293586438334502</v>
      </c>
      <c r="H65" s="114">
        <f>+[1]Augalai!H64-[1]Augalai!H63</f>
        <v>57854.179999999993</v>
      </c>
      <c r="I65" s="115">
        <f t="shared" ref="I65:I68" si="31">+H65/$H$104</f>
        <v>2.006834294656603E-2</v>
      </c>
      <c r="J65" s="114">
        <f>+[1]Augalai!J64-[1]Augalai!J63</f>
        <v>694250.16000000015</v>
      </c>
      <c r="K65" s="115">
        <f t="shared" ref="K65:K68" si="32">+J65/$J$104</f>
        <v>2.9471723846395226E-3</v>
      </c>
    </row>
    <row r="66" spans="2:11" ht="15.6" x14ac:dyDescent="0.3">
      <c r="B66" s="208"/>
      <c r="C66" s="113" t="s">
        <v>221</v>
      </c>
      <c r="D66" s="208"/>
      <c r="E66" s="208"/>
      <c r="F66" s="114">
        <v>101806</v>
      </c>
      <c r="G66" s="115">
        <v>0.36298097492797898</v>
      </c>
      <c r="H66" s="114">
        <f>+[1]Augalai!H65-[1]Augalai!H64</f>
        <v>45103.390000000014</v>
      </c>
      <c r="I66" s="115">
        <f t="shared" si="31"/>
        <v>1.5645374259434967E-2</v>
      </c>
      <c r="J66" s="114">
        <f>+[1]Augalai!J65-[1]Augalai!J64</f>
        <v>541240.68000000063</v>
      </c>
      <c r="K66" s="115">
        <f t="shared" si="32"/>
        <v>2.297629410037901E-3</v>
      </c>
    </row>
    <row r="67" spans="2:11" ht="15.6" x14ac:dyDescent="0.3">
      <c r="B67" s="208"/>
      <c r="C67" s="113" t="s">
        <v>222</v>
      </c>
      <c r="D67" s="208"/>
      <c r="E67" s="208"/>
      <c r="F67" s="114">
        <v>2911</v>
      </c>
      <c r="G67" s="115">
        <v>0.26706422018348602</v>
      </c>
      <c r="H67" s="114">
        <v>288872.89</v>
      </c>
      <c r="I67" s="115">
        <f t="shared" si="31"/>
        <v>0.10020365381525839</v>
      </c>
      <c r="J67" s="114">
        <v>3466474.68</v>
      </c>
      <c r="K67" s="115">
        <f t="shared" si="32"/>
        <v>1.4715586740301398E-2</v>
      </c>
    </row>
    <row r="68" spans="2:11" ht="15.6" x14ac:dyDescent="0.3">
      <c r="B68" s="208"/>
      <c r="C68" s="113" t="s">
        <v>223</v>
      </c>
      <c r="D68" s="208"/>
      <c r="E68" s="208"/>
      <c r="F68" s="114">
        <v>33</v>
      </c>
      <c r="G68" s="115">
        <v>9.1922005571030599E-2</v>
      </c>
      <c r="H68" s="114">
        <v>20695.259999999998</v>
      </c>
      <c r="I68" s="115">
        <f t="shared" si="31"/>
        <v>7.1787306474372309E-3</v>
      </c>
      <c r="J68" s="114">
        <v>248343.12</v>
      </c>
      <c r="K68" s="115">
        <f t="shared" si="32"/>
        <v>1.0542453244507988E-3</v>
      </c>
    </row>
    <row r="69" spans="2:11" ht="15.6" x14ac:dyDescent="0.3">
      <c r="B69" s="208"/>
      <c r="C69" s="113" t="s">
        <v>224</v>
      </c>
      <c r="D69" s="208"/>
      <c r="E69" s="208"/>
      <c r="F69" s="116">
        <v>104750</v>
      </c>
      <c r="G69" s="117"/>
      <c r="H69" s="116">
        <v>923410.01</v>
      </c>
      <c r="I69" s="117">
        <f t="shared" ref="I69" si="33">+H69/H104</f>
        <v>0.32031062856602532</v>
      </c>
      <c r="J69" s="116">
        <v>11080920.119999999</v>
      </c>
      <c r="K69" s="117">
        <f t="shared" ref="K69" si="34">+J69/J104</f>
        <v>4.7039790057895638E-2</v>
      </c>
    </row>
    <row r="70" spans="2:11" ht="15.6" x14ac:dyDescent="0.3">
      <c r="B70" s="208" t="s">
        <v>133</v>
      </c>
      <c r="C70" s="207" t="s">
        <v>134</v>
      </c>
      <c r="D70" s="207"/>
      <c r="E70" s="207"/>
      <c r="F70" s="207"/>
      <c r="G70" s="207"/>
      <c r="H70" s="207"/>
      <c r="I70" s="207"/>
      <c r="J70" s="207"/>
      <c r="K70" s="207"/>
    </row>
    <row r="71" spans="2:11" ht="15.6" x14ac:dyDescent="0.3">
      <c r="B71" s="208"/>
      <c r="C71" s="113" t="s">
        <v>219</v>
      </c>
      <c r="D71" s="208" t="s">
        <v>122</v>
      </c>
      <c r="E71" s="208">
        <v>70</v>
      </c>
      <c r="F71" s="114">
        <v>53602</v>
      </c>
      <c r="G71" s="115">
        <v>0.19586649419365201</v>
      </c>
      <c r="H71" s="114">
        <v>61044.01</v>
      </c>
      <c r="I71" s="115">
        <f>+H71/$H$104</f>
        <v>2.1174824835709476E-2</v>
      </c>
      <c r="J71" s="114">
        <v>4273080.7</v>
      </c>
      <c r="K71" s="115">
        <f>+J71/$J$104</f>
        <v>1.8139722771365465E-2</v>
      </c>
    </row>
    <row r="72" spans="2:11" ht="15.6" x14ac:dyDescent="0.3">
      <c r="B72" s="208"/>
      <c r="C72" s="113" t="s">
        <v>220</v>
      </c>
      <c r="D72" s="208"/>
      <c r="E72" s="208"/>
      <c r="F72" s="114">
        <v>53734</v>
      </c>
      <c r="G72" s="115">
        <v>0.19347985770045101</v>
      </c>
      <c r="H72" s="114">
        <f>+[1]Augalai!H71-[1]Augalai!H70</f>
        <v>4534.2199999999939</v>
      </c>
      <c r="I72" s="115">
        <f t="shared" ref="I72:I75" si="35">+H72/$H$104</f>
        <v>1.5728212197490053E-3</v>
      </c>
      <c r="J72" s="114">
        <f>+[1]Augalai!J71-[1]Augalai!J70</f>
        <v>317395.39999999944</v>
      </c>
      <c r="K72" s="115">
        <f t="shared" ref="K72:K75" si="36">+J72/$J$104</f>
        <v>1.347380255399024E-3</v>
      </c>
    </row>
    <row r="73" spans="2:11" ht="15.6" x14ac:dyDescent="0.3">
      <c r="B73" s="208"/>
      <c r="C73" s="113" t="s">
        <v>221</v>
      </c>
      <c r="D73" s="208"/>
      <c r="E73" s="208"/>
      <c r="F73" s="114">
        <v>53804</v>
      </c>
      <c r="G73" s="115">
        <v>0.19183376593741999</v>
      </c>
      <c r="H73" s="114">
        <f>+[1]Augalai!H72-[1]Augalai!H71</f>
        <v>3168.6300000000047</v>
      </c>
      <c r="I73" s="115">
        <f t="shared" si="35"/>
        <v>1.0991280752882095E-3</v>
      </c>
      <c r="J73" s="114">
        <f>+[1]Augalai!J72-[1]Augalai!J71</f>
        <v>221804.10000000056</v>
      </c>
      <c r="K73" s="115">
        <f t="shared" si="36"/>
        <v>9.4158410899008603E-4</v>
      </c>
    </row>
    <row r="74" spans="2:11" ht="15.6" x14ac:dyDescent="0.3">
      <c r="B74" s="208"/>
      <c r="C74" s="113" t="s">
        <v>222</v>
      </c>
      <c r="D74" s="208"/>
      <c r="E74" s="208"/>
      <c r="F74" s="114">
        <v>184</v>
      </c>
      <c r="G74" s="115">
        <v>1.68807339449541E-2</v>
      </c>
      <c r="H74" s="114">
        <v>19910.04</v>
      </c>
      <c r="I74" s="115">
        <f t="shared" si="35"/>
        <v>6.906355094823703E-3</v>
      </c>
      <c r="J74" s="114">
        <v>1393702.8</v>
      </c>
      <c r="K74" s="115">
        <f t="shared" si="36"/>
        <v>5.9164298997853729E-3</v>
      </c>
    </row>
    <row r="75" spans="2:11" ht="15.6" x14ac:dyDescent="0.3">
      <c r="B75" s="208"/>
      <c r="C75" s="113" t="s">
        <v>223</v>
      </c>
      <c r="D75" s="208"/>
      <c r="E75" s="208"/>
      <c r="F75" s="114">
        <v>1</v>
      </c>
      <c r="G75" s="115">
        <v>2.7855153203342601E-3</v>
      </c>
      <c r="H75" s="114">
        <v>2257.1</v>
      </c>
      <c r="I75" s="115">
        <f t="shared" si="35"/>
        <v>7.8293836097398991E-4</v>
      </c>
      <c r="J75" s="114">
        <v>157997</v>
      </c>
      <c r="K75" s="115">
        <f t="shared" si="36"/>
        <v>6.7071557499661294E-4</v>
      </c>
    </row>
    <row r="76" spans="2:11" ht="15.6" x14ac:dyDescent="0.3">
      <c r="B76" s="208"/>
      <c r="C76" s="113" t="s">
        <v>224</v>
      </c>
      <c r="D76" s="208"/>
      <c r="E76" s="208"/>
      <c r="F76" s="116">
        <v>53989</v>
      </c>
      <c r="G76" s="117"/>
      <c r="H76" s="116">
        <v>90914</v>
      </c>
      <c r="I76" s="117">
        <f t="shared" ref="I76" si="37">+H76/H104</f>
        <v>3.1536067586544383E-2</v>
      </c>
      <c r="J76" s="116">
        <v>6363980</v>
      </c>
      <c r="K76" s="117">
        <f t="shared" ref="K76" si="38">+J76/J104</f>
        <v>2.7015832610536559E-2</v>
      </c>
    </row>
    <row r="77" spans="2:11" ht="15.6" x14ac:dyDescent="0.3">
      <c r="B77" s="208" t="s">
        <v>135</v>
      </c>
      <c r="C77" s="207" t="s">
        <v>136</v>
      </c>
      <c r="D77" s="207"/>
      <c r="E77" s="207"/>
      <c r="F77" s="207"/>
      <c r="G77" s="207"/>
      <c r="H77" s="207"/>
      <c r="I77" s="207"/>
      <c r="J77" s="207"/>
      <c r="K77" s="207"/>
    </row>
    <row r="78" spans="2:11" ht="15.6" x14ac:dyDescent="0.3">
      <c r="B78" s="208"/>
      <c r="C78" s="113" t="s">
        <v>219</v>
      </c>
      <c r="D78" s="208" t="s">
        <v>122</v>
      </c>
      <c r="E78" s="208">
        <v>70</v>
      </c>
      <c r="F78" s="114">
        <v>372</v>
      </c>
      <c r="G78" s="115">
        <v>1.35932121637324E-3</v>
      </c>
      <c r="H78" s="114">
        <v>3469.13</v>
      </c>
      <c r="I78" s="115">
        <f>+H78/$H$104</f>
        <v>1.2033649179060289E-3</v>
      </c>
      <c r="J78" s="114">
        <v>242839.1</v>
      </c>
      <c r="K78" s="115">
        <f>+J78/$J$104</f>
        <v>1.030880121699526E-3</v>
      </c>
    </row>
    <row r="79" spans="2:11" ht="15.6" x14ac:dyDescent="0.3">
      <c r="B79" s="208"/>
      <c r="C79" s="113" t="s">
        <v>220</v>
      </c>
      <c r="D79" s="208"/>
      <c r="E79" s="208"/>
      <c r="F79" s="114">
        <v>383</v>
      </c>
      <c r="G79" s="115">
        <v>1.3790669873687501E-3</v>
      </c>
      <c r="H79" s="114">
        <f>+[1]Augalai!H78-[1]Augalai!H77</f>
        <v>365.59999999999991</v>
      </c>
      <c r="I79" s="115">
        <f t="shared" ref="I79:I82" si="39">+H79/$H$104</f>
        <v>1.2681860120158196E-4</v>
      </c>
      <c r="J79" s="114">
        <f>+[1]Augalai!J78-[1]Augalai!J77</f>
        <v>25591.999999999971</v>
      </c>
      <c r="K79" s="115">
        <f t="shared" ref="K79:K82" si="40">+J79/$J$104</f>
        <v>1.0864100581221985E-4</v>
      </c>
    </row>
    <row r="80" spans="2:11" ht="15.6" x14ac:dyDescent="0.3">
      <c r="B80" s="208"/>
      <c r="C80" s="113" t="s">
        <v>221</v>
      </c>
      <c r="D80" s="208"/>
      <c r="E80" s="208"/>
      <c r="F80" s="114">
        <v>395</v>
      </c>
      <c r="G80" s="115">
        <v>1.40834022647537E-3</v>
      </c>
      <c r="H80" s="114">
        <f>+[1]Augalai!H79-[1]Augalai!H78</f>
        <v>531.62000000000035</v>
      </c>
      <c r="I80" s="115">
        <f t="shared" si="39"/>
        <v>1.8440728876035304E-4</v>
      </c>
      <c r="J80" s="114">
        <f>+[1]Augalai!J79-[1]Augalai!J78</f>
        <v>37213.400000000023</v>
      </c>
      <c r="K80" s="115">
        <f t="shared" si="40"/>
        <v>1.5797519559598581E-4</v>
      </c>
    </row>
    <row r="81" spans="2:11" ht="15.6" x14ac:dyDescent="0.3">
      <c r="B81" s="208"/>
      <c r="C81" s="113" t="s">
        <v>222</v>
      </c>
      <c r="D81" s="208"/>
      <c r="E81" s="208"/>
      <c r="F81" s="114">
        <v>15</v>
      </c>
      <c r="G81" s="115">
        <v>1.3761467889908301E-3</v>
      </c>
      <c r="H81" s="114">
        <v>1500.16</v>
      </c>
      <c r="I81" s="115">
        <f t="shared" si="39"/>
        <v>5.2037251854093346E-4</v>
      </c>
      <c r="J81" s="114">
        <v>105011.20000000001</v>
      </c>
      <c r="K81" s="115">
        <f t="shared" si="40"/>
        <v>4.4578471356471536E-4</v>
      </c>
    </row>
    <row r="82" spans="2:11" ht="15.6" x14ac:dyDescent="0.3">
      <c r="B82" s="208"/>
      <c r="C82" s="113" t="s">
        <v>223</v>
      </c>
      <c r="D82" s="208"/>
      <c r="E82" s="208"/>
      <c r="F82" s="114">
        <v>0</v>
      </c>
      <c r="G82" s="118">
        <v>0</v>
      </c>
      <c r="H82" s="114">
        <v>0</v>
      </c>
      <c r="I82" s="115">
        <f t="shared" si="39"/>
        <v>0</v>
      </c>
      <c r="J82" s="114">
        <v>0</v>
      </c>
      <c r="K82" s="115">
        <f t="shared" si="40"/>
        <v>0</v>
      </c>
    </row>
    <row r="83" spans="2:11" ht="15.6" x14ac:dyDescent="0.3">
      <c r="B83" s="208"/>
      <c r="C83" s="113" t="s">
        <v>224</v>
      </c>
      <c r="D83" s="208"/>
      <c r="E83" s="208"/>
      <c r="F83" s="116">
        <v>410</v>
      </c>
      <c r="G83" s="119"/>
      <c r="H83" s="116">
        <v>5866.51</v>
      </c>
      <c r="I83" s="117">
        <f t="shared" ref="I83" si="41">+H83/H104</f>
        <v>2.0349633264088972E-3</v>
      </c>
      <c r="J83" s="116">
        <v>410655.7</v>
      </c>
      <c r="K83" s="117">
        <f t="shared" ref="K83" si="42">+J83/J104</f>
        <v>1.7432810366724469E-3</v>
      </c>
    </row>
    <row r="84" spans="2:11" ht="15.6" x14ac:dyDescent="0.3">
      <c r="B84" s="208" t="s">
        <v>137</v>
      </c>
      <c r="C84" s="208" t="s">
        <v>138</v>
      </c>
      <c r="D84" s="208"/>
      <c r="E84" s="208"/>
      <c r="F84" s="208"/>
      <c r="G84" s="208"/>
      <c r="H84" s="208"/>
      <c r="I84" s="208"/>
      <c r="J84" s="208"/>
      <c r="K84" s="208"/>
    </row>
    <row r="85" spans="2:11" ht="15.6" x14ac:dyDescent="0.3">
      <c r="B85" s="208"/>
      <c r="C85" s="113" t="s">
        <v>219</v>
      </c>
      <c r="D85" s="208" t="s">
        <v>139</v>
      </c>
      <c r="E85" s="208">
        <v>20</v>
      </c>
      <c r="F85" s="114">
        <v>2</v>
      </c>
      <c r="G85" s="115">
        <v>7.3081785826518497E-6</v>
      </c>
      <c r="H85" s="114">
        <v>3.51</v>
      </c>
      <c r="I85" s="115">
        <f>+H85/$H$104</f>
        <v>1.2175418222580766E-6</v>
      </c>
      <c r="J85" s="114">
        <v>70.199999999999989</v>
      </c>
      <c r="K85" s="115">
        <f>+J85/$J$104</f>
        <v>2.9800713535549548E-7</v>
      </c>
    </row>
    <row r="86" spans="2:11" ht="15.6" x14ac:dyDescent="0.3">
      <c r="B86" s="208"/>
      <c r="C86" s="113" t="s">
        <v>220</v>
      </c>
      <c r="D86" s="208"/>
      <c r="E86" s="208"/>
      <c r="F86" s="114">
        <v>2</v>
      </c>
      <c r="G86" s="115">
        <v>7.2013941899151702E-6</v>
      </c>
      <c r="H86" s="114">
        <f>+[1]Augalai!H85-[1]Augalai!H84</f>
        <v>0</v>
      </c>
      <c r="I86" s="115">
        <f t="shared" ref="I86:I89" si="43">+H86/$H$104</f>
        <v>0</v>
      </c>
      <c r="J86" s="114">
        <f>+[1]Augalai!J85-[1]Augalai!J84</f>
        <v>0</v>
      </c>
      <c r="K86" s="115">
        <f t="shared" ref="K86:K89" si="44">+J86/$J$104</f>
        <v>0</v>
      </c>
    </row>
    <row r="87" spans="2:11" ht="15.6" x14ac:dyDescent="0.3">
      <c r="B87" s="208"/>
      <c r="C87" s="113" t="s">
        <v>221</v>
      </c>
      <c r="D87" s="208"/>
      <c r="E87" s="208"/>
      <c r="F87" s="114">
        <v>2</v>
      </c>
      <c r="G87" s="115">
        <v>7.1308365897487103E-6</v>
      </c>
      <c r="H87" s="114">
        <f>+[1]Augalai!H86-[1]Augalai!H85</f>
        <v>0</v>
      </c>
      <c r="I87" s="115">
        <f t="shared" si="43"/>
        <v>0</v>
      </c>
      <c r="J87" s="114">
        <f>+[1]Augalai!J86-[1]Augalai!J85</f>
        <v>0</v>
      </c>
      <c r="K87" s="115">
        <f t="shared" si="44"/>
        <v>0</v>
      </c>
    </row>
    <row r="88" spans="2:11" ht="15.6" x14ac:dyDescent="0.3">
      <c r="B88" s="208"/>
      <c r="C88" s="113" t="s">
        <v>222</v>
      </c>
      <c r="D88" s="208"/>
      <c r="E88" s="208"/>
      <c r="F88" s="114">
        <v>0</v>
      </c>
      <c r="G88" s="118">
        <v>0</v>
      </c>
      <c r="H88" s="114">
        <v>0</v>
      </c>
      <c r="I88" s="115">
        <f t="shared" si="43"/>
        <v>0</v>
      </c>
      <c r="J88" s="114">
        <v>0</v>
      </c>
      <c r="K88" s="115">
        <f t="shared" si="44"/>
        <v>0</v>
      </c>
    </row>
    <row r="89" spans="2:11" ht="15.6" x14ac:dyDescent="0.3">
      <c r="B89" s="208"/>
      <c r="C89" s="113" t="s">
        <v>223</v>
      </c>
      <c r="D89" s="208"/>
      <c r="E89" s="208"/>
      <c r="F89" s="114">
        <v>0</v>
      </c>
      <c r="G89" s="118">
        <v>0</v>
      </c>
      <c r="H89" s="114">
        <v>0</v>
      </c>
      <c r="I89" s="115">
        <f t="shared" si="43"/>
        <v>0</v>
      </c>
      <c r="J89" s="114">
        <v>0</v>
      </c>
      <c r="K89" s="115">
        <f t="shared" si="44"/>
        <v>0</v>
      </c>
    </row>
    <row r="90" spans="2:11" ht="15.6" x14ac:dyDescent="0.3">
      <c r="B90" s="208"/>
      <c r="C90" s="113" t="s">
        <v>224</v>
      </c>
      <c r="D90" s="208"/>
      <c r="E90" s="208"/>
      <c r="F90" s="116">
        <v>2</v>
      </c>
      <c r="G90" s="119"/>
      <c r="H90" s="116">
        <v>3.51</v>
      </c>
      <c r="I90" s="117">
        <f t="shared" ref="I90" si="45">+H90/H104</f>
        <v>1.2175418222580766E-6</v>
      </c>
      <c r="J90" s="116">
        <v>70.199999999999989</v>
      </c>
      <c r="K90" s="117">
        <f t="shared" ref="K90" si="46">+J90/J104</f>
        <v>2.9800713535549548E-7</v>
      </c>
    </row>
    <row r="91" spans="2:11" ht="15.6" x14ac:dyDescent="0.3">
      <c r="B91" s="208" t="s">
        <v>140</v>
      </c>
      <c r="C91" s="208" t="s">
        <v>141</v>
      </c>
      <c r="D91" s="208"/>
      <c r="E91" s="208"/>
      <c r="F91" s="208"/>
      <c r="G91" s="208"/>
      <c r="H91" s="208"/>
      <c r="I91" s="208"/>
      <c r="J91" s="208"/>
      <c r="K91" s="208"/>
    </row>
    <row r="92" spans="2:11" ht="15.6" x14ac:dyDescent="0.3">
      <c r="B92" s="208"/>
      <c r="C92" s="113" t="s">
        <v>219</v>
      </c>
      <c r="D92" s="208" t="s">
        <v>139</v>
      </c>
      <c r="E92" s="208">
        <v>6</v>
      </c>
      <c r="F92" s="114">
        <v>54</v>
      </c>
      <c r="G92" s="115">
        <v>1.9732082173159999E-4</v>
      </c>
      <c r="H92" s="114">
        <v>4.83</v>
      </c>
      <c r="I92" s="115">
        <f>+H92/$H$104</f>
        <v>1.6754207981500029E-6</v>
      </c>
      <c r="J92" s="114">
        <v>28.98</v>
      </c>
      <c r="K92" s="115">
        <f>+J92/$J$104</f>
        <v>1.2302345844162765E-7</v>
      </c>
    </row>
    <row r="93" spans="2:11" ht="15.6" x14ac:dyDescent="0.3">
      <c r="B93" s="208"/>
      <c r="C93" s="113" t="s">
        <v>220</v>
      </c>
      <c r="D93" s="208"/>
      <c r="E93" s="208"/>
      <c r="F93" s="114">
        <v>54</v>
      </c>
      <c r="G93" s="115">
        <v>1.9443764312770999E-4</v>
      </c>
      <c r="H93" s="114">
        <f>+[1]Augalai!H92-[1]Augalai!H91</f>
        <v>0</v>
      </c>
      <c r="I93" s="115">
        <f t="shared" ref="I93:I96" si="47">+H93/$H$104</f>
        <v>0</v>
      </c>
      <c r="J93" s="114">
        <f>+[1]Augalai!J92-[1]Augalai!J91</f>
        <v>0</v>
      </c>
      <c r="K93" s="115">
        <f t="shared" ref="K93:K96" si="48">+J93/$J$104</f>
        <v>0</v>
      </c>
    </row>
    <row r="94" spans="2:11" ht="15.6" x14ac:dyDescent="0.3">
      <c r="B94" s="208"/>
      <c r="C94" s="113" t="s">
        <v>221</v>
      </c>
      <c r="D94" s="208"/>
      <c r="E94" s="208"/>
      <c r="F94" s="114">
        <v>54</v>
      </c>
      <c r="G94" s="115">
        <v>1.92532587923215E-4</v>
      </c>
      <c r="H94" s="114">
        <f>+[1]Augalai!H93-[1]Augalai!H92</f>
        <v>0</v>
      </c>
      <c r="I94" s="115">
        <f t="shared" si="47"/>
        <v>0</v>
      </c>
      <c r="J94" s="114">
        <f>+[1]Augalai!J93-[1]Augalai!J92</f>
        <v>0</v>
      </c>
      <c r="K94" s="115">
        <f t="shared" si="48"/>
        <v>0</v>
      </c>
    </row>
    <row r="95" spans="2:11" ht="15.6" x14ac:dyDescent="0.3">
      <c r="B95" s="208"/>
      <c r="C95" s="113" t="s">
        <v>222</v>
      </c>
      <c r="D95" s="208"/>
      <c r="E95" s="208"/>
      <c r="F95" s="114">
        <v>0</v>
      </c>
      <c r="G95" s="118">
        <v>0</v>
      </c>
      <c r="H95" s="114">
        <v>0</v>
      </c>
      <c r="I95" s="115">
        <f t="shared" si="47"/>
        <v>0</v>
      </c>
      <c r="J95" s="114">
        <v>0</v>
      </c>
      <c r="K95" s="115">
        <f t="shared" si="48"/>
        <v>0</v>
      </c>
    </row>
    <row r="96" spans="2:11" ht="15.6" x14ac:dyDescent="0.3">
      <c r="B96" s="208"/>
      <c r="C96" s="113" t="s">
        <v>223</v>
      </c>
      <c r="D96" s="208"/>
      <c r="E96" s="208"/>
      <c r="F96" s="114">
        <v>0</v>
      </c>
      <c r="G96" s="118">
        <v>0</v>
      </c>
      <c r="H96" s="114">
        <v>0</v>
      </c>
      <c r="I96" s="115">
        <f t="shared" si="47"/>
        <v>0</v>
      </c>
      <c r="J96" s="114">
        <v>0</v>
      </c>
      <c r="K96" s="115">
        <f t="shared" si="48"/>
        <v>0</v>
      </c>
    </row>
    <row r="97" spans="2:11" ht="15.6" x14ac:dyDescent="0.3">
      <c r="B97" s="208"/>
      <c r="C97" s="113" t="s">
        <v>224</v>
      </c>
      <c r="D97" s="208"/>
      <c r="E97" s="208"/>
      <c r="F97" s="120">
        <v>54</v>
      </c>
      <c r="G97" s="120"/>
      <c r="H97" s="120">
        <v>4.83</v>
      </c>
      <c r="I97" s="117">
        <f t="shared" ref="I97" si="49">+H97/H104</f>
        <v>1.6754207981500029E-6</v>
      </c>
      <c r="J97" s="120">
        <v>28.98</v>
      </c>
      <c r="K97" s="117">
        <f t="shared" ref="K97" si="50">+J97/J104</f>
        <v>1.2302345844162765E-7</v>
      </c>
    </row>
    <row r="98" spans="2:11" ht="15.6" x14ac:dyDescent="0.3">
      <c r="B98" s="208" t="s">
        <v>164</v>
      </c>
      <c r="C98" s="228" t="s">
        <v>225</v>
      </c>
      <c r="D98" s="228"/>
      <c r="E98" s="228"/>
      <c r="F98" s="228"/>
      <c r="G98" s="228"/>
      <c r="H98" s="228"/>
      <c r="I98" s="228"/>
      <c r="J98" s="228"/>
      <c r="K98" s="228"/>
    </row>
    <row r="99" spans="2:11" ht="15.6" x14ac:dyDescent="0.3">
      <c r="B99" s="208"/>
      <c r="C99" s="113" t="s">
        <v>219</v>
      </c>
      <c r="D99" s="229" t="s">
        <v>226</v>
      </c>
      <c r="E99" s="229"/>
      <c r="H99" s="114">
        <f>+H8+H15+H22+H29+H36+H43+H50+H57+H64+H71+H78+H85+H92</f>
        <v>992952.33</v>
      </c>
      <c r="I99" s="121">
        <f>+H99/$H$104</f>
        <v>0.34443333028022877</v>
      </c>
      <c r="J99" s="114">
        <f t="shared" ref="J99" si="51">+J8+J15+J22+J29+J36+J43+J50+J57+J64+J71+J78+J85+J92</f>
        <v>60603623.610000007</v>
      </c>
      <c r="K99" s="121">
        <f>+J99/$J$104</f>
        <v>0.25726940547263216</v>
      </c>
    </row>
    <row r="100" spans="2:11" ht="15.6" x14ac:dyDescent="0.3">
      <c r="B100" s="208"/>
      <c r="C100" s="113" t="s">
        <v>220</v>
      </c>
      <c r="D100" s="229"/>
      <c r="E100" s="229"/>
      <c r="H100" s="114">
        <f t="shared" ref="H100:J104" si="52">+H9+H16+H23+H30+H37+H44+H51+H58+H65+H72+H79+H86+H93</f>
        <v>140385.56000000006</v>
      </c>
      <c r="I100" s="121">
        <f t="shared" ref="I100:I104" si="53">+H100/$H$104</f>
        <v>4.8696663971829236E-2</v>
      </c>
      <c r="J100" s="114">
        <f t="shared" si="52"/>
        <v>10108852.760000002</v>
      </c>
      <c r="K100" s="121">
        <f t="shared" ref="K100:K104" si="54">+J100/$J$104</f>
        <v>4.2913251463505629E-2</v>
      </c>
    </row>
    <row r="101" spans="2:11" ht="15.6" x14ac:dyDescent="0.3">
      <c r="B101" s="208"/>
      <c r="C101" s="113" t="s">
        <v>221</v>
      </c>
      <c r="D101" s="229"/>
      <c r="E101" s="229"/>
      <c r="H101" s="114">
        <f t="shared" si="52"/>
        <v>122909.51999999997</v>
      </c>
      <c r="I101" s="121">
        <f t="shared" si="53"/>
        <v>4.2634609958309255E-2</v>
      </c>
      <c r="J101" s="114">
        <f t="shared" si="52"/>
        <v>9469073.5799999926</v>
      </c>
      <c r="K101" s="121">
        <f t="shared" si="54"/>
        <v>4.0197314701512887E-2</v>
      </c>
    </row>
    <row r="102" spans="2:11" ht="15.6" x14ac:dyDescent="0.3">
      <c r="B102" s="208"/>
      <c r="C102" s="113" t="s">
        <v>222</v>
      </c>
      <c r="D102" s="229"/>
      <c r="E102" s="229"/>
      <c r="H102" s="114">
        <f t="shared" si="52"/>
        <v>1301105.2299999997</v>
      </c>
      <c r="I102" s="121">
        <f t="shared" si="53"/>
        <v>0.45132479563638567</v>
      </c>
      <c r="J102" s="114">
        <f t="shared" si="52"/>
        <v>120157344.68000001</v>
      </c>
      <c r="K102" s="121">
        <f t="shared" si="54"/>
        <v>0.51008185299159103</v>
      </c>
    </row>
    <row r="103" spans="2:11" ht="15.6" x14ac:dyDescent="0.3">
      <c r="B103" s="208"/>
      <c r="C103" s="113" t="s">
        <v>223</v>
      </c>
      <c r="D103" s="229"/>
      <c r="E103" s="229"/>
      <c r="H103" s="114">
        <f>+H12+H19+H26+H33+H40+H47+H54+H61+H68+H75+H82+H89+H96</f>
        <v>325505.20999999996</v>
      </c>
      <c r="I103" s="121">
        <f t="shared" si="53"/>
        <v>0.11291060015324726</v>
      </c>
      <c r="J103" s="114">
        <f t="shared" si="52"/>
        <v>35225934.770000003</v>
      </c>
      <c r="K103" s="121">
        <f t="shared" si="54"/>
        <v>0.1495381753707585</v>
      </c>
    </row>
    <row r="104" spans="2:11" ht="15.6" x14ac:dyDescent="0.3">
      <c r="B104" s="208"/>
      <c r="C104" s="113" t="s">
        <v>224</v>
      </c>
      <c r="D104" s="229"/>
      <c r="E104" s="229"/>
      <c r="H104" s="116">
        <f t="shared" si="52"/>
        <v>2882857.8499999992</v>
      </c>
      <c r="I104" s="122">
        <f t="shared" si="53"/>
        <v>1</v>
      </c>
      <c r="J104" s="116">
        <f t="shared" si="52"/>
        <v>235564829.39999995</v>
      </c>
      <c r="K104" s="122">
        <f t="shared" si="54"/>
        <v>1</v>
      </c>
    </row>
  </sheetData>
  <mergeCells count="57">
    <mergeCell ref="B3:J3"/>
    <mergeCell ref="C6:K6"/>
    <mergeCell ref="B7:B13"/>
    <mergeCell ref="C7:K7"/>
    <mergeCell ref="D8:D13"/>
    <mergeCell ref="E8:E13"/>
    <mergeCell ref="B14:B20"/>
    <mergeCell ref="C14:K14"/>
    <mergeCell ref="D15:D20"/>
    <mergeCell ref="E15:E20"/>
    <mergeCell ref="B21:B27"/>
    <mergeCell ref="C21:K21"/>
    <mergeCell ref="D22:D27"/>
    <mergeCell ref="E22:E27"/>
    <mergeCell ref="B28:B34"/>
    <mergeCell ref="C28:K28"/>
    <mergeCell ref="D29:D34"/>
    <mergeCell ref="E29:E34"/>
    <mergeCell ref="B35:B41"/>
    <mergeCell ref="C35:K35"/>
    <mergeCell ref="D36:D41"/>
    <mergeCell ref="E36:E41"/>
    <mergeCell ref="B42:B48"/>
    <mergeCell ref="C42:K42"/>
    <mergeCell ref="D43:D48"/>
    <mergeCell ref="E43:E48"/>
    <mergeCell ref="B49:B55"/>
    <mergeCell ref="C49:K49"/>
    <mergeCell ref="D50:D55"/>
    <mergeCell ref="E50:E55"/>
    <mergeCell ref="B56:B62"/>
    <mergeCell ref="C56:K56"/>
    <mergeCell ref="D57:D62"/>
    <mergeCell ref="E57:E62"/>
    <mergeCell ref="B63:B69"/>
    <mergeCell ref="C63:K63"/>
    <mergeCell ref="D64:D69"/>
    <mergeCell ref="E64:E69"/>
    <mergeCell ref="B70:B76"/>
    <mergeCell ref="C70:K70"/>
    <mergeCell ref="D71:D76"/>
    <mergeCell ref="E71:E76"/>
    <mergeCell ref="B77:B83"/>
    <mergeCell ref="C77:K77"/>
    <mergeCell ref="D78:D83"/>
    <mergeCell ref="E78:E83"/>
    <mergeCell ref="B98:B104"/>
    <mergeCell ref="C98:K98"/>
    <mergeCell ref="D99:E104"/>
    <mergeCell ref="B84:B90"/>
    <mergeCell ref="C84:K84"/>
    <mergeCell ref="D85:D90"/>
    <mergeCell ref="E85:E90"/>
    <mergeCell ref="B91:B97"/>
    <mergeCell ref="C91:K91"/>
    <mergeCell ref="D92:D97"/>
    <mergeCell ref="E92:E97"/>
  </mergeCell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87BF-D6BD-4693-861F-E5CF7A118063}">
  <dimension ref="A1:F42"/>
  <sheetViews>
    <sheetView zoomScaleNormal="100" workbookViewId="0">
      <selection activeCell="E5" sqref="E5"/>
    </sheetView>
  </sheetViews>
  <sheetFormatPr defaultRowHeight="14.4" x14ac:dyDescent="0.3"/>
  <cols>
    <col min="1" max="1" width="2.5546875" customWidth="1"/>
    <col min="2" max="2" width="84.88671875" bestFit="1" customWidth="1"/>
    <col min="3" max="3" width="27.109375" customWidth="1"/>
    <col min="4" max="4" width="14.109375" customWidth="1"/>
    <col min="5" max="6" width="8.33203125" customWidth="1"/>
    <col min="7" max="7" width="7.33203125" customWidth="1"/>
  </cols>
  <sheetData>
    <row r="1" spans="1:6" x14ac:dyDescent="0.3">
      <c r="A1" s="197" t="s">
        <v>240</v>
      </c>
      <c r="B1" s="197"/>
      <c r="C1" s="197"/>
      <c r="D1" s="197"/>
      <c r="E1" s="197"/>
      <c r="F1" t="s">
        <v>191</v>
      </c>
    </row>
    <row r="2" spans="1:6" x14ac:dyDescent="0.3">
      <c r="C2" s="39" t="s">
        <v>1</v>
      </c>
    </row>
    <row r="3" spans="1:6" ht="32.25" customHeight="1" x14ac:dyDescent="0.3">
      <c r="B3" s="198" t="s">
        <v>2</v>
      </c>
      <c r="C3" s="198"/>
    </row>
    <row r="4" spans="1:6" x14ac:dyDescent="0.3">
      <c r="B4" s="1" t="s">
        <v>3</v>
      </c>
      <c r="C4" s="1" t="s">
        <v>4</v>
      </c>
    </row>
    <row r="5" spans="1:6" x14ac:dyDescent="0.3">
      <c r="B5" s="2" t="s">
        <v>5</v>
      </c>
      <c r="C5" s="3">
        <v>83843</v>
      </c>
    </row>
    <row r="6" spans="1:6" x14ac:dyDescent="0.3">
      <c r="B6" s="2" t="s">
        <v>6</v>
      </c>
      <c r="C6" s="3">
        <v>59</v>
      </c>
    </row>
    <row r="8" spans="1:6" ht="33" customHeight="1" x14ac:dyDescent="0.3">
      <c r="B8" s="199" t="s">
        <v>7</v>
      </c>
      <c r="C8" s="199"/>
    </row>
    <row r="9" spans="1:6" x14ac:dyDescent="0.3">
      <c r="B9" s="1" t="s">
        <v>3</v>
      </c>
      <c r="C9" s="1" t="s">
        <v>4</v>
      </c>
    </row>
    <row r="10" spans="1:6" x14ac:dyDescent="0.3">
      <c r="B10" s="2" t="s">
        <v>203</v>
      </c>
      <c r="C10" s="3">
        <v>286409706</v>
      </c>
    </row>
    <row r="11" spans="1:6" x14ac:dyDescent="0.3">
      <c r="B11" s="2" t="s">
        <v>9</v>
      </c>
      <c r="C11" s="3">
        <v>1009390</v>
      </c>
    </row>
    <row r="13" spans="1:6" ht="33" customHeight="1" x14ac:dyDescent="0.3">
      <c r="B13" s="199" t="s">
        <v>204</v>
      </c>
      <c r="C13" s="199"/>
    </row>
    <row r="14" spans="1:6" x14ac:dyDescent="0.3">
      <c r="B14" s="1" t="s">
        <v>3</v>
      </c>
      <c r="C14" s="1" t="s">
        <v>205</v>
      </c>
    </row>
    <row r="15" spans="1:6" x14ac:dyDescent="0.3">
      <c r="B15" s="2" t="s">
        <v>206</v>
      </c>
      <c r="C15" s="4" t="s">
        <v>210</v>
      </c>
    </row>
    <row r="16" spans="1:6" x14ac:dyDescent="0.3">
      <c r="B16" s="2" t="s">
        <v>208</v>
      </c>
      <c r="C16" s="4" t="s">
        <v>211</v>
      </c>
    </row>
    <row r="18" spans="2:4" ht="32.25" customHeight="1" x14ac:dyDescent="0.3">
      <c r="B18" s="199" t="s">
        <v>12</v>
      </c>
      <c r="C18" s="199"/>
      <c r="D18" s="199"/>
    </row>
    <row r="19" spans="2:4" x14ac:dyDescent="0.3">
      <c r="B19" s="1" t="s">
        <v>13</v>
      </c>
      <c r="C19" s="1" t="s">
        <v>14</v>
      </c>
      <c r="D19" s="1" t="s">
        <v>15</v>
      </c>
    </row>
    <row r="20" spans="2:4" x14ac:dyDescent="0.3">
      <c r="B20" s="2" t="s">
        <v>17</v>
      </c>
      <c r="C20" s="2">
        <v>1610785</v>
      </c>
      <c r="D20" s="2">
        <v>185240290</v>
      </c>
    </row>
    <row r="21" spans="2:4" x14ac:dyDescent="0.3">
      <c r="B21" s="2" t="s">
        <v>18</v>
      </c>
      <c r="C21" s="2">
        <v>156812</v>
      </c>
      <c r="D21" s="2">
        <v>18033364</v>
      </c>
    </row>
    <row r="22" spans="2:4" x14ac:dyDescent="0.3">
      <c r="B22" s="2" t="s">
        <v>19</v>
      </c>
      <c r="C22" s="2">
        <v>13956</v>
      </c>
      <c r="D22" s="2">
        <v>3349457</v>
      </c>
    </row>
    <row r="23" spans="2:4" x14ac:dyDescent="0.3">
      <c r="B23" s="2" t="s">
        <v>20</v>
      </c>
      <c r="C23" s="2">
        <v>5582</v>
      </c>
      <c r="D23" s="2">
        <v>1339668</v>
      </c>
    </row>
    <row r="24" spans="2:4" x14ac:dyDescent="0.3">
      <c r="B24" s="2" t="s">
        <v>21</v>
      </c>
      <c r="C24" s="2">
        <v>15680</v>
      </c>
      <c r="D24" s="2">
        <v>2352038</v>
      </c>
    </row>
    <row r="25" spans="2:4" x14ac:dyDescent="0.3">
      <c r="B25" s="2" t="s">
        <v>22</v>
      </c>
      <c r="C25" s="2">
        <v>5313</v>
      </c>
      <c r="D25" s="2">
        <v>1328313</v>
      </c>
    </row>
    <row r="26" spans="2:4" x14ac:dyDescent="0.3">
      <c r="B26" s="2" t="s">
        <v>23</v>
      </c>
      <c r="C26" s="2">
        <v>10612</v>
      </c>
      <c r="D26" s="2">
        <v>1591728</v>
      </c>
    </row>
    <row r="27" spans="2:4" x14ac:dyDescent="0.3">
      <c r="B27" s="2" t="s">
        <v>24</v>
      </c>
      <c r="C27" s="2">
        <v>2662.98</v>
      </c>
      <c r="D27" s="2">
        <v>306243</v>
      </c>
    </row>
    <row r="28" spans="2:4" x14ac:dyDescent="0.3">
      <c r="B28" s="2" t="s">
        <v>25</v>
      </c>
      <c r="C28" s="2">
        <v>938994</v>
      </c>
      <c r="D28" s="2">
        <v>11267927</v>
      </c>
    </row>
    <row r="29" spans="2:4" x14ac:dyDescent="0.3">
      <c r="B29" s="2" t="s">
        <v>26</v>
      </c>
      <c r="C29" s="2">
        <v>85270</v>
      </c>
      <c r="D29" s="2">
        <v>5968884</v>
      </c>
    </row>
    <row r="30" spans="2:4" x14ac:dyDescent="0.3">
      <c r="B30" s="2" t="s">
        <v>27</v>
      </c>
      <c r="C30" s="2">
        <v>4581</v>
      </c>
      <c r="D30" s="2">
        <v>320695</v>
      </c>
    </row>
    <row r="31" spans="2:4" x14ac:dyDescent="0.3">
      <c r="B31" s="2" t="s">
        <v>28</v>
      </c>
      <c r="C31" s="2">
        <v>34100</v>
      </c>
      <c r="D31" s="2">
        <v>682000</v>
      </c>
    </row>
    <row r="32" spans="2:4" x14ac:dyDescent="0.3">
      <c r="B32" s="2" t="s">
        <v>29</v>
      </c>
      <c r="C32" s="2">
        <v>78500</v>
      </c>
      <c r="D32" s="2">
        <v>471000</v>
      </c>
    </row>
    <row r="33" spans="2:4" x14ac:dyDescent="0.3">
      <c r="B33" s="2" t="s">
        <v>30</v>
      </c>
      <c r="C33" s="2">
        <v>14626</v>
      </c>
      <c r="D33" s="2">
        <v>1681992</v>
      </c>
    </row>
    <row r="34" spans="2:4" x14ac:dyDescent="0.3">
      <c r="B34" s="2" t="s">
        <v>31</v>
      </c>
      <c r="C34" s="2">
        <v>13721</v>
      </c>
      <c r="D34" s="2">
        <v>1234885</v>
      </c>
    </row>
    <row r="35" spans="2:4" x14ac:dyDescent="0.3">
      <c r="B35" s="2" t="s">
        <v>32</v>
      </c>
      <c r="C35" s="2">
        <v>533650</v>
      </c>
      <c r="D35" s="2">
        <v>61369716</v>
      </c>
    </row>
    <row r="36" spans="2:4" x14ac:dyDescent="0.3">
      <c r="B36" s="2" t="s">
        <v>33</v>
      </c>
      <c r="C36" s="2">
        <v>50768</v>
      </c>
      <c r="D36" s="2">
        <v>1523031</v>
      </c>
    </row>
    <row r="37" spans="2:4" x14ac:dyDescent="0.3">
      <c r="B37" s="2" t="s">
        <v>34</v>
      </c>
      <c r="C37" s="2">
        <v>17966</v>
      </c>
      <c r="D37" s="2">
        <v>538984</v>
      </c>
    </row>
    <row r="38" spans="2:4" x14ac:dyDescent="0.3">
      <c r="B38" s="2" t="s">
        <v>35</v>
      </c>
      <c r="C38" s="2">
        <v>10157</v>
      </c>
      <c r="D38" s="2">
        <v>304695</v>
      </c>
    </row>
    <row r="39" spans="2:4" x14ac:dyDescent="0.3">
      <c r="B39" s="2" t="s">
        <v>36</v>
      </c>
      <c r="C39" s="2">
        <v>65501</v>
      </c>
      <c r="D39" s="2">
        <v>655006</v>
      </c>
    </row>
    <row r="40" spans="2:4" x14ac:dyDescent="0.3">
      <c r="B40" s="2" t="s">
        <v>37</v>
      </c>
      <c r="C40" s="2">
        <v>4</v>
      </c>
      <c r="D40" s="2">
        <v>221</v>
      </c>
    </row>
    <row r="41" spans="2:4" x14ac:dyDescent="0.3">
      <c r="B41" s="2" t="s">
        <v>38</v>
      </c>
      <c r="C41" s="2">
        <v>870</v>
      </c>
      <c r="D41" s="2">
        <v>6091</v>
      </c>
    </row>
    <row r="42" spans="2:4" x14ac:dyDescent="0.3">
      <c r="B42" s="107" t="s">
        <v>39</v>
      </c>
      <c r="C42" s="2"/>
      <c r="D42" s="107">
        <v>299566227</v>
      </c>
    </row>
  </sheetData>
  <mergeCells count="5">
    <mergeCell ref="B3:C3"/>
    <mergeCell ref="B8:C8"/>
    <mergeCell ref="B13:C13"/>
    <mergeCell ref="B18:D18"/>
    <mergeCell ref="A1:E1"/>
  </mergeCells>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2230-D1FC-447D-9161-23FB3EE5B345}">
  <dimension ref="A1:F42"/>
  <sheetViews>
    <sheetView topLeftCell="A28" zoomScaleNormal="100" workbookViewId="0">
      <selection activeCell="E4" sqref="E4"/>
    </sheetView>
  </sheetViews>
  <sheetFormatPr defaultRowHeight="14.4" x14ac:dyDescent="0.3"/>
  <cols>
    <col min="1" max="1" width="2.5546875" customWidth="1"/>
    <col min="2" max="2" width="84.88671875" bestFit="1" customWidth="1"/>
    <col min="3" max="3" width="28.88671875" customWidth="1"/>
    <col min="4" max="4" width="14.109375" customWidth="1"/>
    <col min="5" max="6" width="8.33203125" customWidth="1"/>
    <col min="7" max="7" width="7.33203125" customWidth="1"/>
  </cols>
  <sheetData>
    <row r="1" spans="1:6" x14ac:dyDescent="0.3">
      <c r="A1" s="197" t="s">
        <v>241</v>
      </c>
      <c r="B1" s="197"/>
      <c r="C1" s="197"/>
      <c r="D1" s="197"/>
      <c r="E1" s="197"/>
      <c r="F1" t="s">
        <v>192</v>
      </c>
    </row>
    <row r="2" spans="1:6" x14ac:dyDescent="0.3">
      <c r="C2" s="39" t="s">
        <v>1</v>
      </c>
    </row>
    <row r="3" spans="1:6" ht="32.25" customHeight="1" x14ac:dyDescent="0.3">
      <c r="B3" s="198" t="s">
        <v>2</v>
      </c>
      <c r="C3" s="198"/>
    </row>
    <row r="4" spans="1:6" x14ac:dyDescent="0.3">
      <c r="B4" s="1" t="s">
        <v>3</v>
      </c>
      <c r="C4" s="1" t="s">
        <v>4</v>
      </c>
    </row>
    <row r="5" spans="1:6" x14ac:dyDescent="0.3">
      <c r="B5" s="2" t="s">
        <v>5</v>
      </c>
      <c r="C5" s="3">
        <v>158119</v>
      </c>
    </row>
    <row r="6" spans="1:6" x14ac:dyDescent="0.3">
      <c r="B6" s="2" t="s">
        <v>6</v>
      </c>
      <c r="C6" s="3">
        <v>63</v>
      </c>
    </row>
    <row r="8" spans="1:6" ht="33" customHeight="1" x14ac:dyDescent="0.3">
      <c r="B8" s="199" t="s">
        <v>7</v>
      </c>
      <c r="C8" s="199"/>
    </row>
    <row r="9" spans="1:6" x14ac:dyDescent="0.3">
      <c r="B9" s="1" t="s">
        <v>3</v>
      </c>
      <c r="C9" s="1" t="s">
        <v>4</v>
      </c>
    </row>
    <row r="10" spans="1:6" x14ac:dyDescent="0.3">
      <c r="B10" s="2" t="s">
        <v>203</v>
      </c>
      <c r="C10" s="3">
        <v>291289693</v>
      </c>
    </row>
    <row r="11" spans="1:6" x14ac:dyDescent="0.3">
      <c r="B11" s="2" t="s">
        <v>9</v>
      </c>
      <c r="C11" s="3">
        <v>966656</v>
      </c>
    </row>
    <row r="13" spans="1:6" ht="33" customHeight="1" x14ac:dyDescent="0.3">
      <c r="B13" s="199" t="s">
        <v>204</v>
      </c>
      <c r="C13" s="199"/>
    </row>
    <row r="14" spans="1:6" x14ac:dyDescent="0.3">
      <c r="B14" s="1" t="s">
        <v>3</v>
      </c>
      <c r="C14" s="1" t="s">
        <v>205</v>
      </c>
    </row>
    <row r="15" spans="1:6" x14ac:dyDescent="0.3">
      <c r="B15" s="2" t="s">
        <v>206</v>
      </c>
      <c r="C15" s="4" t="s">
        <v>207</v>
      </c>
    </row>
    <row r="16" spans="1:6" x14ac:dyDescent="0.3">
      <c r="B16" s="2" t="s">
        <v>208</v>
      </c>
      <c r="C16" s="4" t="s">
        <v>209</v>
      </c>
    </row>
    <row r="18" spans="2:4" ht="32.25" customHeight="1" x14ac:dyDescent="0.3">
      <c r="B18" s="199" t="s">
        <v>12</v>
      </c>
      <c r="C18" s="199"/>
      <c r="D18" s="199"/>
    </row>
    <row r="19" spans="2:4" x14ac:dyDescent="0.3">
      <c r="B19" s="1" t="s">
        <v>13</v>
      </c>
      <c r="C19" s="1" t="s">
        <v>14</v>
      </c>
      <c r="D19" s="1" t="s">
        <v>15</v>
      </c>
    </row>
    <row r="20" spans="2:4" x14ac:dyDescent="0.3">
      <c r="B20" s="2" t="s">
        <v>17</v>
      </c>
      <c r="C20" s="2">
        <v>1586756</v>
      </c>
      <c r="D20" s="2">
        <v>182476921</v>
      </c>
    </row>
    <row r="21" spans="2:4" x14ac:dyDescent="0.3">
      <c r="B21" s="2" t="s">
        <v>18</v>
      </c>
      <c r="C21" s="2">
        <v>172618</v>
      </c>
      <c r="D21" s="2">
        <v>19851106</v>
      </c>
    </row>
    <row r="22" spans="2:4" x14ac:dyDescent="0.3">
      <c r="B22" s="2" t="s">
        <v>19</v>
      </c>
      <c r="C22" s="2">
        <v>13159</v>
      </c>
      <c r="D22" s="2">
        <v>3158185</v>
      </c>
    </row>
    <row r="23" spans="2:4" x14ac:dyDescent="0.3">
      <c r="B23" s="2" t="s">
        <v>20</v>
      </c>
      <c r="C23" s="2">
        <v>4779</v>
      </c>
      <c r="D23" s="2">
        <v>1146931</v>
      </c>
    </row>
    <row r="24" spans="2:4" x14ac:dyDescent="0.3">
      <c r="B24" s="2" t="s">
        <v>21</v>
      </c>
      <c r="C24" s="2">
        <v>17169</v>
      </c>
      <c r="D24" s="2">
        <v>2575397</v>
      </c>
    </row>
    <row r="25" spans="2:4" x14ac:dyDescent="0.3">
      <c r="B25" s="2" t="s">
        <v>22</v>
      </c>
      <c r="C25" s="2">
        <v>5163</v>
      </c>
      <c r="D25" s="2">
        <v>1290646</v>
      </c>
    </row>
    <row r="26" spans="2:4" x14ac:dyDescent="0.3">
      <c r="B26" s="2" t="s">
        <v>23</v>
      </c>
      <c r="C26" s="2">
        <v>10858</v>
      </c>
      <c r="D26" s="2">
        <v>1628672</v>
      </c>
    </row>
    <row r="27" spans="2:4" x14ac:dyDescent="0.3">
      <c r="B27" s="2" t="s">
        <v>24</v>
      </c>
      <c r="C27" s="2">
        <v>2808</v>
      </c>
      <c r="D27" s="2">
        <v>322871</v>
      </c>
    </row>
    <row r="28" spans="2:4" x14ac:dyDescent="0.3">
      <c r="B28" s="2" t="s">
        <v>25</v>
      </c>
      <c r="C28" s="2">
        <v>935668</v>
      </c>
      <c r="D28" s="2">
        <v>11228018</v>
      </c>
    </row>
    <row r="29" spans="2:4" x14ac:dyDescent="0.3">
      <c r="B29" s="2" t="s">
        <v>26</v>
      </c>
      <c r="C29" s="2">
        <v>93475</v>
      </c>
      <c r="D29" s="2">
        <v>6543229</v>
      </c>
    </row>
    <row r="30" spans="2:4" x14ac:dyDescent="0.3">
      <c r="B30" s="2" t="s">
        <v>27</v>
      </c>
      <c r="C30" s="2">
        <v>4246</v>
      </c>
      <c r="D30" s="2">
        <v>297233</v>
      </c>
    </row>
    <row r="31" spans="2:4" x14ac:dyDescent="0.3">
      <c r="B31" s="2" t="s">
        <v>28</v>
      </c>
      <c r="C31" s="2">
        <v>31600</v>
      </c>
      <c r="D31" s="2">
        <v>632000</v>
      </c>
    </row>
    <row r="32" spans="2:4" x14ac:dyDescent="0.3">
      <c r="B32" s="2" t="s">
        <v>29</v>
      </c>
      <c r="C32" s="2">
        <v>48150</v>
      </c>
      <c r="D32" s="2">
        <v>288900</v>
      </c>
    </row>
    <row r="33" spans="2:4" x14ac:dyDescent="0.3">
      <c r="B33" s="2" t="s">
        <v>30</v>
      </c>
      <c r="C33" s="2">
        <v>14036</v>
      </c>
      <c r="D33" s="2">
        <v>1614192</v>
      </c>
    </row>
    <row r="34" spans="2:4" x14ac:dyDescent="0.3">
      <c r="B34" s="2" t="s">
        <v>31</v>
      </c>
      <c r="C34" s="2">
        <v>14686</v>
      </c>
      <c r="D34" s="2">
        <v>1321704</v>
      </c>
    </row>
    <row r="35" spans="2:4" x14ac:dyDescent="0.3">
      <c r="B35" s="2" t="s">
        <v>32</v>
      </c>
      <c r="C35" s="2">
        <v>525682</v>
      </c>
      <c r="D35" s="2">
        <v>60453453</v>
      </c>
    </row>
    <row r="36" spans="2:4" x14ac:dyDescent="0.3">
      <c r="B36" s="2" t="s">
        <v>33</v>
      </c>
      <c r="C36" s="2">
        <v>48463</v>
      </c>
      <c r="D36" s="2">
        <v>1453884</v>
      </c>
    </row>
    <row r="37" spans="2:4" x14ac:dyDescent="0.3">
      <c r="B37" s="2" t="s">
        <v>34</v>
      </c>
      <c r="C37" s="2">
        <v>17908</v>
      </c>
      <c r="D37" s="2">
        <v>537239</v>
      </c>
    </row>
    <row r="38" spans="2:4" x14ac:dyDescent="0.3">
      <c r="B38" s="2" t="s">
        <v>35</v>
      </c>
      <c r="C38" s="2">
        <v>10117</v>
      </c>
      <c r="D38" s="2">
        <v>303510</v>
      </c>
    </row>
    <row r="39" spans="2:4" x14ac:dyDescent="0.3">
      <c r="B39" s="2" t="s">
        <v>36</v>
      </c>
      <c r="C39" s="2">
        <v>71332</v>
      </c>
      <c r="D39" s="2">
        <v>713320</v>
      </c>
    </row>
    <row r="40" spans="2:4" x14ac:dyDescent="0.3">
      <c r="B40" s="2" t="s">
        <v>37</v>
      </c>
      <c r="C40" s="2">
        <v>4</v>
      </c>
      <c r="D40" s="2">
        <v>218</v>
      </c>
    </row>
    <row r="41" spans="2:4" x14ac:dyDescent="0.3">
      <c r="B41" s="2" t="s">
        <v>38</v>
      </c>
      <c r="C41" s="2">
        <v>1038</v>
      </c>
      <c r="D41" s="2">
        <v>7264</v>
      </c>
    </row>
    <row r="42" spans="2:4" x14ac:dyDescent="0.3">
      <c r="B42" s="107" t="s">
        <v>39</v>
      </c>
      <c r="C42" s="2"/>
      <c r="D42" s="107">
        <v>297844893</v>
      </c>
    </row>
  </sheetData>
  <mergeCells count="5">
    <mergeCell ref="B3:C3"/>
    <mergeCell ref="B8:C8"/>
    <mergeCell ref="B13:C13"/>
    <mergeCell ref="B18:D18"/>
    <mergeCell ref="A1:E1"/>
  </mergeCell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9</vt:i4>
      </vt:variant>
    </vt:vector>
  </HeadingPairs>
  <TitlesOfParts>
    <vt:vector size="22" baseType="lpstr">
      <vt:lpstr>2020 m. siūlymai pagal 2019 m. </vt:lpstr>
      <vt:lpstr>2019 m. siūlymai pagal 2018 m.</vt:lpstr>
      <vt:lpstr>Ūkinių metų duomenys</vt:lpstr>
      <vt:lpstr>E. Makšecko analizė</vt:lpstr>
      <vt:lpstr>Analizė Finansų sk.</vt:lpstr>
      <vt:lpstr>Gyvuliai analizė</vt:lpstr>
      <vt:lpstr>Augalai analizė</vt:lpstr>
      <vt:lpstr>2016 m.</vt:lpstr>
      <vt:lpstr>2017 m.</vt:lpstr>
      <vt:lpstr>2018 m.</vt:lpstr>
      <vt:lpstr>2019 m.</vt:lpstr>
      <vt:lpstr>VDU siūlymai</vt:lpstr>
      <vt:lpstr>Netekčių sutaupymas</vt:lpstr>
      <vt:lpstr>'2016 m.'!part_876d74c1be7944b6a4e296375e730cef</vt:lpstr>
      <vt:lpstr>'2017 m.'!part_876d74c1be7944b6a4e296375e730cef</vt:lpstr>
      <vt:lpstr>'2016 m.'!Print_Area</vt:lpstr>
      <vt:lpstr>'2017 m.'!Print_Area</vt:lpstr>
      <vt:lpstr>'2018 m.'!Print_Area</vt:lpstr>
      <vt:lpstr>'2019 m.'!Print_Area</vt:lpstr>
      <vt:lpstr>'Analizė Finansų sk.'!Print_Area</vt:lpstr>
      <vt:lpstr>'Augalai analizė'!Print_Area</vt:lpstr>
      <vt:lpstr>'Gyvuliai analizė'!Print_Area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Vaištaras</dc:creator>
  <cp:lastModifiedBy>Tadas Švilpauskas</cp:lastModifiedBy>
  <cp:lastPrinted>2020-06-02T11:05:38Z</cp:lastPrinted>
  <dcterms:created xsi:type="dcterms:W3CDTF">2019-09-24T13:21:50Z</dcterms:created>
  <dcterms:modified xsi:type="dcterms:W3CDTF">2020-09-07T10:29:42Z</dcterms:modified>
</cp:coreProperties>
</file>