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j.bzozovska\Desktop\"/>
    </mc:Choice>
  </mc:AlternateContent>
  <xr:revisionPtr revIDLastSave="0" documentId="8_{1C5A4956-F004-4803-8D7D-5BEDDD360489}" xr6:coauthVersionLast="45" xr6:coauthVersionMax="45" xr10:uidLastSave="{00000000-0000-0000-0000-000000000000}"/>
  <bookViews>
    <workbookView xWindow="-110" yWindow="-110" windowWidth="19420" windowHeight="10420" tabRatio="792" firstSheet="2" activeTab="2" xr2:uid="{00000000-000D-0000-FFFF-FFFF00000000}"/>
  </bookViews>
  <sheets>
    <sheet name="1 lentelė_1-2 lapai" sheetId="88" r:id="rId1"/>
    <sheet name=" 2 lentelė_1-4 lapai -" sheetId="2" r:id="rId2"/>
    <sheet name="3 lentelė_1,2 lapai" sheetId="81" r:id="rId3"/>
    <sheet name="4 lentelė 1 lapas+ " sheetId="56" r:id="rId4"/>
    <sheet name="4 lentelė 2 lapas+" sheetId="65" r:id="rId5"/>
    <sheet name="4 lentelė 3,4,5 lapas" sheetId="89" r:id="rId6"/>
    <sheet name="5_lentele" sheetId="82" r:id="rId7"/>
    <sheet name="6 lentelė+" sheetId="69" r:id="rId8"/>
    <sheet name="7 lentelė +" sheetId="70" r:id="rId9"/>
  </sheets>
  <definedNames>
    <definedName name="_xlnm.Print_Area" localSheetId="2">'3 lentelė_1,2 lapai'!$A$2:$E$119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6" i="81" l="1"/>
  <c r="D57" i="81"/>
  <c r="D54" i="81"/>
  <c r="E47" i="81" l="1"/>
  <c r="E10" i="82" l="1"/>
  <c r="F10" i="82" s="1"/>
  <c r="G10" i="82" s="1"/>
  <c r="H10" i="82" s="1"/>
  <c r="H276" i="2" l="1"/>
  <c r="E288" i="2"/>
  <c r="E276" i="2"/>
  <c r="E278" i="2" s="1"/>
  <c r="D273" i="2"/>
  <c r="D11" i="82" l="1"/>
  <c r="E11" i="82" s="1"/>
  <c r="F11" i="82" s="1"/>
  <c r="G11" i="82" s="1"/>
  <c r="H11" i="82" s="1"/>
  <c r="C10" i="82"/>
  <c r="C8" i="82" s="1"/>
  <c r="B114" i="81"/>
  <c r="B111" i="81" s="1"/>
  <c r="E109" i="81"/>
  <c r="E96" i="81"/>
  <c r="D96" i="81"/>
  <c r="C96" i="81"/>
  <c r="B96" i="81"/>
  <c r="D91" i="81"/>
  <c r="C91" i="81"/>
  <c r="B91" i="81"/>
  <c r="D89" i="81"/>
  <c r="C89" i="81"/>
  <c r="B89" i="81"/>
  <c r="E88" i="81"/>
  <c r="B86" i="81"/>
  <c r="E85" i="81"/>
  <c r="D85" i="81"/>
  <c r="C85" i="81"/>
  <c r="B85" i="81"/>
  <c r="E84" i="81"/>
  <c r="D84" i="81"/>
  <c r="C84" i="81"/>
  <c r="B84" i="81"/>
  <c r="E83" i="81"/>
  <c r="D83" i="81"/>
  <c r="C83" i="81"/>
  <c r="B83" i="81"/>
  <c r="E82" i="81"/>
  <c r="D82" i="81"/>
  <c r="B82" i="81"/>
  <c r="E81" i="81"/>
  <c r="D81" i="81"/>
  <c r="B81" i="81"/>
  <c r="E80" i="81"/>
  <c r="D80" i="81"/>
  <c r="C80" i="81"/>
  <c r="C79" i="81" s="1"/>
  <c r="B80" i="81"/>
  <c r="B72" i="81"/>
  <c r="B71" i="81" s="1"/>
  <c r="E71" i="81"/>
  <c r="D71" i="81"/>
  <c r="C71" i="81"/>
  <c r="E69" i="81"/>
  <c r="D69" i="81"/>
  <c r="C69" i="81"/>
  <c r="C68" i="81"/>
  <c r="B68" i="81"/>
  <c r="E67" i="81"/>
  <c r="D67" i="81"/>
  <c r="C67" i="81"/>
  <c r="B67" i="81"/>
  <c r="C66" i="81"/>
  <c r="B66" i="81"/>
  <c r="B59" i="81"/>
  <c r="B58" i="81"/>
  <c r="C57" i="81"/>
  <c r="C56" i="81" s="1"/>
  <c r="B57" i="81"/>
  <c r="E56" i="81"/>
  <c r="D56" i="81"/>
  <c r="C55" i="81"/>
  <c r="B55" i="81"/>
  <c r="C54" i="81"/>
  <c r="B54" i="81"/>
  <c r="D53" i="81"/>
  <c r="C53" i="81"/>
  <c r="B53" i="81"/>
  <c r="B47" i="81"/>
  <c r="E41" i="81"/>
  <c r="E40" i="81" s="1"/>
  <c r="D41" i="81"/>
  <c r="D40" i="81" s="1"/>
  <c r="C41" i="81"/>
  <c r="C40" i="81" s="1"/>
  <c r="B41" i="81"/>
  <c r="B40" i="81" s="1"/>
  <c r="E37" i="81"/>
  <c r="D37" i="81"/>
  <c r="C37" i="81"/>
  <c r="B37" i="81"/>
  <c r="E30" i="81"/>
  <c r="D30" i="81"/>
  <c r="C30" i="81"/>
  <c r="B30" i="81"/>
  <c r="E26" i="81"/>
  <c r="D26" i="81"/>
  <c r="C26" i="81"/>
  <c r="B26" i="81"/>
  <c r="E22" i="81"/>
  <c r="D22" i="81"/>
  <c r="C22" i="81"/>
  <c r="B22" i="81"/>
  <c r="E18" i="81"/>
  <c r="D18" i="81"/>
  <c r="C18" i="81"/>
  <c r="B18" i="81"/>
  <c r="B12" i="81" s="1"/>
  <c r="E12" i="81"/>
  <c r="D12" i="81"/>
  <c r="C12" i="81"/>
  <c r="C11" i="81" s="1"/>
  <c r="B11" i="81" l="1"/>
  <c r="B56" i="81"/>
  <c r="B52" i="81" s="1"/>
  <c r="B10" i="81" s="1"/>
  <c r="D11" i="81"/>
  <c r="E11" i="81"/>
  <c r="B88" i="81"/>
  <c r="D88" i="81"/>
  <c r="D8" i="82"/>
  <c r="D52" i="81"/>
  <c r="C52" i="81"/>
  <c r="C118" i="81" s="1"/>
  <c r="E52" i="81"/>
  <c r="C70" i="81"/>
  <c r="D86" i="81" s="1"/>
  <c r="B79" i="81"/>
  <c r="B70" i="81" s="1"/>
  <c r="E79" i="81"/>
  <c r="E70" i="81" s="1"/>
  <c r="C88" i="81"/>
  <c r="C108" i="81"/>
  <c r="F8" i="82"/>
  <c r="E8" i="82"/>
  <c r="D79" i="81" l="1"/>
  <c r="D70" i="81" s="1"/>
  <c r="C10" i="81"/>
  <c r="C9" i="81" s="1"/>
  <c r="C116" i="81" s="1"/>
  <c r="C114" i="81" s="1"/>
  <c r="B9" i="81"/>
  <c r="E10" i="81"/>
  <c r="E9" i="81" s="1"/>
  <c r="D10" i="81"/>
  <c r="D9" i="81" s="1"/>
  <c r="H8" i="82"/>
  <c r="G8" i="82"/>
  <c r="D108" i="81" l="1"/>
  <c r="D114" i="81" s="1"/>
  <c r="C111" i="81"/>
  <c r="C105" i="81" s="1"/>
  <c r="D110" i="81"/>
  <c r="D116" i="81" l="1"/>
  <c r="D111" i="81"/>
  <c r="D105" i="81" s="1"/>
  <c r="E108" i="81"/>
  <c r="E110" i="81" l="1"/>
  <c r="E114" i="81"/>
  <c r="E116" i="81" l="1"/>
  <c r="E111" i="81"/>
  <c r="E105" i="81" l="1"/>
  <c r="L73" i="2"/>
  <c r="D294" i="2" l="1"/>
  <c r="C12" i="69" l="1"/>
  <c r="C13" i="69" s="1"/>
  <c r="D12" i="69"/>
  <c r="D13" i="69" s="1"/>
  <c r="E12" i="69"/>
  <c r="E13" i="69" s="1"/>
  <c r="B12" i="69"/>
  <c r="L43" i="2" l="1"/>
  <c r="L41" i="2" s="1"/>
  <c r="K43" i="2"/>
  <c r="K41" i="2" s="1"/>
  <c r="J43" i="2"/>
  <c r="M22" i="2"/>
  <c r="M21" i="2" s="1"/>
  <c r="N22" i="2"/>
  <c r="N21" i="2" s="1"/>
  <c r="O22" i="2"/>
  <c r="O21" i="2" s="1"/>
  <c r="J36" i="2"/>
  <c r="C294" i="2" l="1"/>
  <c r="C288" i="2"/>
  <c r="C280" i="2"/>
  <c r="C276" i="2"/>
  <c r="C278" i="2" s="1"/>
  <c r="C274" i="2"/>
  <c r="C273" i="2"/>
  <c r="C272" i="2"/>
  <c r="C268" i="2" l="1"/>
  <c r="K107" i="2"/>
  <c r="N107" i="2" s="1"/>
  <c r="L107" i="2"/>
  <c r="O107" i="2" s="1"/>
  <c r="J107" i="2"/>
  <c r="M107" i="2" s="1"/>
  <c r="L102" i="2"/>
  <c r="O102" i="2" s="1"/>
  <c r="K102" i="2"/>
  <c r="N102" i="2" s="1"/>
  <c r="J102" i="2"/>
  <c r="M102" i="2" s="1"/>
  <c r="L96" i="2"/>
  <c r="O96" i="2" s="1"/>
  <c r="K96" i="2"/>
  <c r="N96" i="2" s="1"/>
  <c r="J96" i="2"/>
  <c r="M96" i="2" s="1"/>
  <c r="L85" i="2"/>
  <c r="O85" i="2" s="1"/>
  <c r="K85" i="2"/>
  <c r="N85" i="2" s="1"/>
  <c r="J85" i="2"/>
  <c r="M85" i="2" s="1"/>
  <c r="L80" i="2"/>
  <c r="O80" i="2" s="1"/>
  <c r="K80" i="2"/>
  <c r="N80" i="2" s="1"/>
  <c r="J80" i="2"/>
  <c r="M80" i="2" s="1"/>
  <c r="K73" i="2"/>
  <c r="K71" i="2" s="1"/>
  <c r="N71" i="2" s="1"/>
  <c r="O73" i="2"/>
  <c r="J73" i="2"/>
  <c r="M73" i="2" s="1"/>
  <c r="J61" i="2"/>
  <c r="M61" i="2" s="1"/>
  <c r="L61" i="2"/>
  <c r="O61" i="2" s="1"/>
  <c r="K61" i="2"/>
  <c r="N61" i="2" s="1"/>
  <c r="K55" i="2"/>
  <c r="N55" i="2" s="1"/>
  <c r="L55" i="2"/>
  <c r="O55" i="2" s="1"/>
  <c r="J55" i="2"/>
  <c r="M55" i="2" s="1"/>
  <c r="N43" i="2"/>
  <c r="O41" i="2"/>
  <c r="M43" i="2"/>
  <c r="K36" i="2"/>
  <c r="N36" i="2" s="1"/>
  <c r="L36" i="2"/>
  <c r="O36" i="2" s="1"/>
  <c r="M36" i="2"/>
  <c r="K22" i="2"/>
  <c r="K21" i="2" s="1"/>
  <c r="L22" i="2"/>
  <c r="J22" i="2"/>
  <c r="J21" i="2" s="1"/>
  <c r="J60" i="2" l="1"/>
  <c r="M60" i="2" s="1"/>
  <c r="L21" i="2"/>
  <c r="J41" i="2"/>
  <c r="M41" i="2" s="1"/>
  <c r="N41" i="2"/>
  <c r="O43" i="2"/>
  <c r="L60" i="2"/>
  <c r="O60" i="2" s="1"/>
  <c r="J71" i="2"/>
  <c r="M71" i="2" s="1"/>
  <c r="K60" i="2"/>
  <c r="N60" i="2" s="1"/>
  <c r="C300" i="2"/>
  <c r="C270" i="2"/>
  <c r="L71" i="2"/>
  <c r="O71" i="2" s="1"/>
  <c r="N73" i="2"/>
  <c r="B13" i="69" l="1"/>
  <c r="H294" i="2" l="1"/>
  <c r="G294" i="2"/>
  <c r="F294" i="2"/>
  <c r="E294" i="2"/>
  <c r="H288" i="2"/>
  <c r="G288" i="2"/>
  <c r="F288" i="2"/>
  <c r="D288" i="2"/>
  <c r="H280" i="2"/>
  <c r="G280" i="2"/>
  <c r="F280" i="2"/>
  <c r="E280" i="2"/>
  <c r="D280" i="2"/>
  <c r="H278" i="2"/>
  <c r="G276" i="2"/>
  <c r="G278" i="2" s="1"/>
  <c r="F276" i="2"/>
  <c r="F278" i="2" s="1"/>
  <c r="D276" i="2"/>
  <c r="H274" i="2"/>
  <c r="G274" i="2"/>
  <c r="F274" i="2"/>
  <c r="E274" i="2"/>
  <c r="D274" i="2"/>
  <c r="H273" i="2"/>
  <c r="G273" i="2"/>
  <c r="F273" i="2"/>
  <c r="E273" i="2"/>
  <c r="H272" i="2"/>
  <c r="G272" i="2"/>
  <c r="F272" i="2"/>
  <c r="E272" i="2"/>
  <c r="D272" i="2"/>
  <c r="D278" i="2" l="1"/>
  <c r="D268" i="2"/>
  <c r="D300" i="2" s="1"/>
  <c r="H268" i="2"/>
  <c r="F268" i="2"/>
  <c r="F300" i="2" s="1"/>
  <c r="E268" i="2"/>
  <c r="E300" i="2" s="1"/>
  <c r="G268" i="2"/>
  <c r="G300" i="2" s="1"/>
  <c r="D270" i="2" l="1"/>
  <c r="H300" i="2"/>
  <c r="H270" i="2"/>
  <c r="G270" i="2"/>
  <c r="F270" i="2"/>
  <c r="E270" i="2"/>
</calcChain>
</file>

<file path=xl/sharedStrings.xml><?xml version="1.0" encoding="utf-8"?>
<sst xmlns="http://schemas.openxmlformats.org/spreadsheetml/2006/main" count="944" uniqueCount="552">
  <si>
    <t>4 lapas</t>
  </si>
  <si>
    <t>Matav. vnt.</t>
  </si>
  <si>
    <t>vnt.</t>
  </si>
  <si>
    <t>laukiama</t>
  </si>
  <si>
    <r>
      <t xml:space="preserve">2.8.  </t>
    </r>
    <r>
      <rPr>
        <b/>
        <u/>
        <sz val="12"/>
        <rFont val="Times New Roman"/>
        <family val="1"/>
        <charset val="186"/>
      </rPr>
      <t>Veiklos sąnaudos</t>
    </r>
  </si>
  <si>
    <t>Eur</t>
  </si>
  <si>
    <t>Veiklos sąnaudos be:</t>
  </si>
  <si>
    <t xml:space="preserve"> - išmokų mokėjimo sąnaudų</t>
  </si>
  <si>
    <t xml:space="preserve"> - ilgalaikio turto nusidėvėjimo ir amortizacijos</t>
  </si>
  <si>
    <t xml:space="preserve"> Fondo administravimo įstaigų finansavimo sąnaudos be:</t>
  </si>
  <si>
    <t>2.8.1.1. Darbo užmokesčiui</t>
  </si>
  <si>
    <t>2.8.1.2. Socialinio draudimo įmokoms</t>
  </si>
  <si>
    <t>2.8.1.3. Prekėms ir paslaugoms įsigyti bei kitoms Fondo administravimo įstaigų veiklos sąnaudoms</t>
  </si>
  <si>
    <t>Prekėms ir paslaugoms įsigyti bei kitoms Fondo administravimo įstaigų veiklos sąnaudos be:</t>
  </si>
  <si>
    <r>
      <t xml:space="preserve">2.8.3. </t>
    </r>
    <r>
      <rPr>
        <b/>
        <u/>
        <sz val="10"/>
        <rFont val="Times New Roman"/>
        <family val="1"/>
        <charset val="186"/>
      </rPr>
      <t>Kitos Fondo veiklos sąnaudos</t>
    </r>
  </si>
  <si>
    <t xml:space="preserve">2.8.3.1. Palūkanų sąnaudos </t>
  </si>
  <si>
    <t>2.8.3.2. Sąnaudos, atsiradusios dėl neigiamos valiutos kurso pasikeitimo įtakos</t>
  </si>
  <si>
    <t xml:space="preserve">2.8.3.3. Kitos sąnaudos </t>
  </si>
  <si>
    <t>IŠ VISO IŠLAIDŲ:</t>
  </si>
  <si>
    <t xml:space="preserve">        2 lentelė</t>
  </si>
  <si>
    <t>1 lapas</t>
  </si>
  <si>
    <t>I Š L A I D Ų  skaičiavimai</t>
  </si>
  <si>
    <t>%</t>
  </si>
  <si>
    <t xml:space="preserve">          Senatvės pensijų gavėjai</t>
  </si>
  <si>
    <t>žm.</t>
  </si>
  <si>
    <t xml:space="preserve">          Vidutinis 1 mėn.  išmokų skaičius</t>
  </si>
  <si>
    <t xml:space="preserve">          Vidutinė netekto darbingumo (invalidumo) pensija </t>
  </si>
  <si>
    <t xml:space="preserve">            Invalidumo pensijų gavėjai </t>
  </si>
  <si>
    <t xml:space="preserve">            Vidutinis 1 mėn.  išmokų skaičius</t>
  </si>
  <si>
    <t xml:space="preserve">            Vidutinė invalidumo pensija </t>
  </si>
  <si>
    <t xml:space="preserve">             Netekto darbingumo pensijų gavėjai </t>
  </si>
  <si>
    <t xml:space="preserve">             Vidutinis 1 mėn.  išmokų skaičius</t>
  </si>
  <si>
    <t xml:space="preserve">           Našlių ir našlaičių (maitintojo netekimo)</t>
  </si>
  <si>
    <t xml:space="preserve">           pensijų gavėjai</t>
  </si>
  <si>
    <t xml:space="preserve">            Maitintojo netekimo pensijų gavėjai</t>
  </si>
  <si>
    <t xml:space="preserve">            Vidutinė pensija</t>
  </si>
  <si>
    <t xml:space="preserve">            Našlaičių pensijų gavėjai</t>
  </si>
  <si>
    <t xml:space="preserve">            Našlių pensijų gavėjai</t>
  </si>
  <si>
    <t xml:space="preserve">            Vidutinė našlių pensija</t>
  </si>
  <si>
    <t xml:space="preserve">           Kompensacijų už ypatingas darbo </t>
  </si>
  <si>
    <t xml:space="preserve">           sąlygas gavėjų skaičius </t>
  </si>
  <si>
    <t xml:space="preserve">           Vidutinis 1 mėn.  išmokų skaičius</t>
  </si>
  <si>
    <t xml:space="preserve">           Vidutinė išmoka</t>
  </si>
  <si>
    <t>2 lapas</t>
  </si>
  <si>
    <t xml:space="preserve">             Apmokėtų ligos dienų skaičius 1 darbuotojui</t>
  </si>
  <si>
    <t>d.d.</t>
  </si>
  <si>
    <t xml:space="preserve">             Apmokėtų ligos dienų skaičius iš viso</t>
  </si>
  <si>
    <t xml:space="preserve">              Gavėjų skaičius</t>
  </si>
  <si>
    <t>3 lapas</t>
  </si>
  <si>
    <t xml:space="preserve">          Atvejų skaičius</t>
  </si>
  <si>
    <t xml:space="preserve">          Vidutinė atvejo trukmė</t>
  </si>
  <si>
    <t>d.</t>
  </si>
  <si>
    <t xml:space="preserve">           apdraustųjų pajamomis nuo kurių skaič. VSD įmokos</t>
  </si>
  <si>
    <t xml:space="preserve">           Atvejų skaičius</t>
  </si>
  <si>
    <t xml:space="preserve">           Vidutinė atvejo trukmė</t>
  </si>
  <si>
    <t xml:space="preserve">          Apdraustieji, netekę iki 20% darbingumo</t>
  </si>
  <si>
    <t xml:space="preserve">          Vidutinė išmoka</t>
  </si>
  <si>
    <t xml:space="preserve">          Apdraustieji, netekę nuo 20% iki 30% darbingumo</t>
  </si>
  <si>
    <t xml:space="preserve">          Gavėjų skaičius  (apdraustųjų skaičius)</t>
  </si>
  <si>
    <t xml:space="preserve">          Išmokų skaičius</t>
  </si>
  <si>
    <t xml:space="preserve">          Vidutinis mėnesinis kompensacijos dydis</t>
  </si>
  <si>
    <t xml:space="preserve">          Gavėjų skaičius (mirusių skaičius)</t>
  </si>
  <si>
    <t xml:space="preserve">          Vidutinis kompensacijos dydis</t>
  </si>
  <si>
    <t xml:space="preserve">          Gavėjų skaičius (išlaikytinių skaičius)</t>
  </si>
  <si>
    <t xml:space="preserve">           Išmokų skaičius</t>
  </si>
  <si>
    <t>4 lentelė</t>
  </si>
  <si>
    <t xml:space="preserve"> </t>
  </si>
  <si>
    <t>Kur,</t>
  </si>
  <si>
    <t>5 lapas</t>
  </si>
  <si>
    <t>1 lentelė</t>
  </si>
  <si>
    <t>PAPILDOMOS LENTELĖS</t>
  </si>
  <si>
    <t>PAJAMŲ SKAIČIAVIMAI</t>
  </si>
  <si>
    <t>Matav.</t>
  </si>
  <si>
    <t>ataskaita</t>
  </si>
  <si>
    <t>projektas</t>
  </si>
  <si>
    <t>prognozė</t>
  </si>
  <si>
    <t>Finansų ministerijos prognozuojami rodikliai:</t>
  </si>
  <si>
    <t>VSDFV prognozuojami rodikliai:</t>
  </si>
  <si>
    <t>Apdraustųjų tik nelaimingų atsitikimų darbe draudimu draudžamųjų pajamų bazė</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</si>
  <si>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</si>
  <si>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</si>
  <si>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</si>
  <si>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</si>
  <si>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Asmenų, slaugančių namuose neįgalius asmenis, skaičius</t>
  </si>
  <si>
    <t>1.1. Draudėjų  valstybinio socialinio draudimo įmokos</t>
  </si>
  <si>
    <t>1.2. Apdraustųjų  valstybinio  socialinio draudimo įmokos</t>
  </si>
  <si>
    <t>1.3. Savarankiškai dirbančių  asmenų valstybinio socialinio draudimo įmokos</t>
  </si>
  <si>
    <t xml:space="preserve">1.5. Delspinigiai, palūkanos ir baudos </t>
  </si>
  <si>
    <t>IŠ VISO PAJAMŲ:</t>
  </si>
  <si>
    <t xml:space="preserve">Nelaimingų atsitikimų darbe ir profesinių ligų socialinio </t>
  </si>
  <si>
    <t>draudimo įmokos tarifo diferencijavimas</t>
  </si>
  <si>
    <t>Tarifo dydis (%)</t>
  </si>
  <si>
    <t xml:space="preserve">Pirmoji grupė </t>
  </si>
  <si>
    <t>Antroji grupė</t>
  </si>
  <si>
    <t>Trečioji grupė</t>
  </si>
  <si>
    <t>Ketvirtoji grupė</t>
  </si>
  <si>
    <t xml:space="preserve"> Bendrasis šalies nelaimingų atsitikimų darbe ir profesinių ligų socialinio draudimo įmokos tarifas</t>
  </si>
  <si>
    <t>1. Įprastinė veikla</t>
  </si>
  <si>
    <t xml:space="preserve">   1.1.1.  Pinigų įplaukos</t>
  </si>
  <si>
    <t xml:space="preserve">   1.1.1.1.1. Pensijų socialiniam draudimui</t>
  </si>
  <si>
    <t xml:space="preserve">   1.1.1.1.4. Nedarbo socialiniam draudimui</t>
  </si>
  <si>
    <t xml:space="preserve">   1.1.1.1.5. Nelaimingų atsitikimų darbe ir profesinių ligų socialiniam draudimui</t>
  </si>
  <si>
    <t xml:space="preserve">   1.1.1.4. Valstybinio savanoriškojo socialinio draudimo įmokos</t>
  </si>
  <si>
    <t xml:space="preserve">   1.1.1.5. Delspinigiai, palūkanos ir baudos  </t>
  </si>
  <si>
    <t xml:space="preserve">   1.1.1.7.1.1. Pensijų fondai </t>
  </si>
  <si>
    <t xml:space="preserve">   1.1.1.7.1.2. Užimtumo fondas</t>
  </si>
  <si>
    <t xml:space="preserve">   1.1.1.7.1.3. Privalomojo sveikatos draudimo fondas </t>
  </si>
  <si>
    <t xml:space="preserve">   1.1.1.7.2. Kitos veiklos pajamos</t>
  </si>
  <si>
    <t xml:space="preserve">   1.1.2. Pinigų išlaidos</t>
  </si>
  <si>
    <t xml:space="preserve">   1.1.2.1. Pensijų socialiniam draudimui</t>
  </si>
  <si>
    <t xml:space="preserve">   1.1.2.6. Lėšos, pervedamos į pensijų fondus</t>
  </si>
  <si>
    <t xml:space="preserve">   1.1.2.7. Fondo administravimo įstaigų finansavimas</t>
  </si>
  <si>
    <t xml:space="preserve">   1.1.2.8. Kitos Fondo veiklos sąnaudos</t>
  </si>
  <si>
    <t xml:space="preserve">   1.2.1. Pinigų įplaukos</t>
  </si>
  <si>
    <t xml:space="preserve">   1.2.1.2. Sveikatos draudimo lėšos</t>
  </si>
  <si>
    <t xml:space="preserve">   1.2.1.3. Pensijų kaupimo dalyvių mokamos papildomos kaupiamosios pensijų įmokos</t>
  </si>
  <si>
    <t xml:space="preserve">   1.2.2.1. Lietuvos Respublikos valstybės biudžeto išmokos</t>
  </si>
  <si>
    <t xml:space="preserve">   1.2.2.2. Lėšos, pervedamos į Privalomojo sveikatos draudimo fondą</t>
  </si>
  <si>
    <t>2. Investicinė veikla</t>
  </si>
  <si>
    <t xml:space="preserve">   2.3. Išlaidos ilgalaikiam materialiajam turtui įsigyti</t>
  </si>
  <si>
    <t xml:space="preserve">   2.4. Įplaukos, gautos pardavus ilgalaikį materialiųjį  turtą </t>
  </si>
  <si>
    <t xml:space="preserve">   2.6. Įplaukos, gautos pardavus akcijas, obligacijas, kitus vertybinius popierius </t>
  </si>
  <si>
    <t xml:space="preserve">3. Finansinė veikla </t>
  </si>
  <si>
    <t xml:space="preserve">   3.1. Gautos  trumpalaikės paskolos  </t>
  </si>
  <si>
    <t xml:space="preserve">   3.2. Grąžintos trumpalaikės paskolos</t>
  </si>
  <si>
    <t xml:space="preserve">   3.3. Gautos ilgalaikės paskolos</t>
  </si>
  <si>
    <t xml:space="preserve">   3.4. Grąžintos ilgalaikės paskolos</t>
  </si>
  <si>
    <t xml:space="preserve">   5.2. Pokytis</t>
  </si>
  <si>
    <t xml:space="preserve">   5.3. Metų pabaigoje</t>
  </si>
  <si>
    <t>6. Kasos apyvartos lėšos</t>
  </si>
  <si>
    <t>5 lentelė</t>
  </si>
  <si>
    <t>Valstybinio socialinio draudimo fondo grynasis turtas</t>
  </si>
  <si>
    <t>Grynasis turtas</t>
  </si>
  <si>
    <t>1. Rezervas Fondo veiklai užtikrinti (kartu su perkainojimo rezervu)</t>
  </si>
  <si>
    <t>2. Fondo sukauptas rezultatas</t>
  </si>
  <si>
    <t xml:space="preserve"> - palūkanų</t>
  </si>
  <si>
    <t xml:space="preserve">2018 m. </t>
  </si>
  <si>
    <t>Savanorišką praktiką atliekančių skaičius</t>
  </si>
  <si>
    <r>
      <t xml:space="preserve">2.7.  </t>
    </r>
    <r>
      <rPr>
        <b/>
        <u/>
        <sz val="11"/>
        <rFont val="Times New Roman"/>
        <family val="1"/>
        <charset val="186"/>
      </rPr>
      <t>Neatgautinos ir abejotinai atgautinos</t>
    </r>
  </si>
  <si>
    <r>
      <t xml:space="preserve">       </t>
    </r>
    <r>
      <rPr>
        <b/>
        <u/>
        <sz val="11"/>
        <rFont val="Times New Roman"/>
        <family val="1"/>
        <charset val="186"/>
      </rPr>
      <t xml:space="preserve"> sumos</t>
    </r>
  </si>
  <si>
    <t xml:space="preserve">   1.1.1.1.2. Ligos socialiniam draudimui</t>
  </si>
  <si>
    <t xml:space="preserve">   1.1.1.1.3. Motinystės socialiniam draudimui</t>
  </si>
  <si>
    <t xml:space="preserve">   1.1.1.1.6. Pensijų ir nedarbo socialiniam  draudimui valstybės lėšomis</t>
  </si>
  <si>
    <t xml:space="preserve">   1.1.1.1.8. Pensijų, ligos ir motinystės socialiniam draudimui valstybės lėšomis</t>
  </si>
  <si>
    <t xml:space="preserve">   1.1.1.1.8.2. Ligos socialiniam draudimui valstybės lėšomis</t>
  </si>
  <si>
    <t xml:space="preserve">   1.1.1.1.8.3. Motinystės socialiniam draudimui valstybės lėšomis</t>
  </si>
  <si>
    <t xml:space="preserve">   1.1.1.6. Asignavimai iš Lietuvos Respublikos valstybės biudžeto</t>
  </si>
  <si>
    <t xml:space="preserve">   1.1.1.6.2. Kiti asignavimai iš Lietuvos Respublikos valstybės biudžeto</t>
  </si>
  <si>
    <t xml:space="preserve">   1.1.2.4. Nedarbo socialiniam draudimui</t>
  </si>
  <si>
    <t xml:space="preserve">   1.1.2.4.1. Nedarbo draudimo išmokoms</t>
  </si>
  <si>
    <t xml:space="preserve">   1.1.2.4.2. Dalinio darbo išmokoms</t>
  </si>
  <si>
    <t xml:space="preserve">   1.1.2.4.3. Aktyvios darbo rinkos politikos priemonėms</t>
  </si>
  <si>
    <t xml:space="preserve">   1.1.2.5. Nelaimingų atsitikimų darbe ir profesinių ligų socialiniam draudimui</t>
  </si>
  <si>
    <t xml:space="preserve">   5.1. Metų pradžioje</t>
  </si>
  <si>
    <t xml:space="preserve">              Motinystės išmokos vidutinė trukmė</t>
  </si>
  <si>
    <t xml:space="preserve">              Motinystės išmokos apmokėtų dienų skaičius</t>
  </si>
  <si>
    <t>2.4.2. Dalinio darbo išmokoms</t>
  </si>
  <si>
    <t xml:space="preserve">             Vidutinė 1 dienos ligos išmoka </t>
  </si>
  <si>
    <t xml:space="preserve">   1.1.1.1.6.2. Nedarbo socialiniam draudimui valstybės lėšomis</t>
  </si>
  <si>
    <t xml:space="preserve">2019 m. </t>
  </si>
  <si>
    <t xml:space="preserve">Vidutinis metinis dirbančiųjų, draudžiamų  visomis socialinio draudimo rūšimis skaičius </t>
  </si>
  <si>
    <t xml:space="preserve">1.6. Asignavimai iš Lietuvos Respublikos valstybės biudžeto </t>
  </si>
  <si>
    <t>1.7. Veiklos pajamos ir iš įtraukto į Fondo  apskaitą turto gaunamos pajamos</t>
  </si>
  <si>
    <t>2.4.3. Aktyvios darbo rinkos politikos priemonėms</t>
  </si>
  <si>
    <t xml:space="preserve">              Vidutinė motinystės 1 d. išmoka</t>
  </si>
  <si>
    <t xml:space="preserve">          Vienos ligos dienos išmokos santykis su vid. mėn.</t>
  </si>
  <si>
    <t xml:space="preserve">          Vidutinė 1d. išmoka</t>
  </si>
  <si>
    <t xml:space="preserve">           Vidutinė 1d. išmoka</t>
  </si>
  <si>
    <t xml:space="preserve">              Vidutinė 1 atvejo trukmė</t>
  </si>
  <si>
    <t xml:space="preserve">              Vidutinė 1 dienos išmoka</t>
  </si>
  <si>
    <t xml:space="preserve">              Vidutinis gavėjų skaičius</t>
  </si>
  <si>
    <t xml:space="preserve">              Vidutinė išmoka</t>
  </si>
  <si>
    <t xml:space="preserve">              Vidutinė mėnesio išmoka</t>
  </si>
  <si>
    <t>Motinų, auginančių vaikus iki 3 m. skaičius</t>
  </si>
  <si>
    <t>1.1.1. Pensijų socialiniam draudimui</t>
  </si>
  <si>
    <t>1.4. Valstybinio savanoriškojo socialinio draudimo įmokos</t>
  </si>
  <si>
    <t>Šalies vid. darbo užmokestis</t>
  </si>
  <si>
    <t xml:space="preserve">1.1.2. Ligos socialiniam draudimui           </t>
  </si>
  <si>
    <t xml:space="preserve">1.1.3.  Motinystės socialiniam draudimui </t>
  </si>
  <si>
    <t>1.1.4. Nedarbo socialiniam draudimui</t>
  </si>
  <si>
    <t>1.1.5. Nelaimingų atsitikimų darbe ir profesinių ligų socialiniam draudimui</t>
  </si>
  <si>
    <t>1.1.6. Pensijų ir nedarbo draudimui valstybės lėšomis</t>
  </si>
  <si>
    <t xml:space="preserve">   1.1.6.1. Pensijų socialiniam draudimui valstybės lėšomis</t>
  </si>
  <si>
    <t xml:space="preserve">   1.1.6.2. Nedarbo socialiniam draudimui valstybės lėšomis</t>
  </si>
  <si>
    <t>1.1.7. Nelaimingų atsitikimų darbe  ir profesinių ligų socialiniam draudimui valstybės lėšomis</t>
  </si>
  <si>
    <t>1.1.8. Pensijų, ligos ir motinystės socialiniam draudimui valstybės lėšomis</t>
  </si>
  <si>
    <t xml:space="preserve">   1.1.8.1. Pensijų socialiniam draudimui valstybės lėšomis</t>
  </si>
  <si>
    <t xml:space="preserve">   1.1.8.2. Ligos  socialiniam draudimui valstybės lėšomis</t>
  </si>
  <si>
    <t xml:space="preserve">   1.1.8.3. Motinystės socialiniam draudimui valstybės lėšomis</t>
  </si>
  <si>
    <t>1.2.1. Pensijų socialiniam draudimui</t>
  </si>
  <si>
    <t>1.3.1. Pensijų socialiniam draudimui</t>
  </si>
  <si>
    <t xml:space="preserve">1.3.2. Ligos socialiniam draudimui </t>
  </si>
  <si>
    <t>1.3.3. Motinystės socialiniam draudimui</t>
  </si>
  <si>
    <t>1.3.4. Nedarbo socialiniam draudimui</t>
  </si>
  <si>
    <t>1.5.1.  Fondui</t>
  </si>
  <si>
    <t xml:space="preserve">   1.5.1.1. Delspinigiai ir baudos</t>
  </si>
  <si>
    <t xml:space="preserve">   1.5.1.2. Palūkanos</t>
  </si>
  <si>
    <t xml:space="preserve">1.6.2. Kti asignavimai iš LR  valstybės biudžeto </t>
  </si>
  <si>
    <t>Meno kūrėjų statusą turinčių ,kuriuos remia valstybė, sk.</t>
  </si>
  <si>
    <t xml:space="preserve">Dvasininkų ir tik vienuolyne dirbančių vienuolių skaičius  </t>
  </si>
  <si>
    <t>Kitų asmenų, valstybės draudžiamų visai pensijai ir draudimu nuo nedarbo, skaičius</t>
  </si>
  <si>
    <t>1.7.2. Kitos veiklos  pajamos</t>
  </si>
  <si>
    <t>1.6.1. Asignavimai iš LR valstybės biudžeto socialinio draudimo bendrajai pensijos daliai (iki 2017 m. gruodžio 31 d. - pagrindinei socialinio draudimo pensijos daliai) kompensuoti</t>
  </si>
  <si>
    <t>3 lentelė</t>
  </si>
  <si>
    <t xml:space="preserve">          Vidutinė senatvės pensija </t>
  </si>
  <si>
    <t xml:space="preserve">          Vidutinė senatvės pensija, turint būtinąjį stažą</t>
  </si>
  <si>
    <t xml:space="preserve">           Ištarnauto laiko pensijų gavėjai</t>
  </si>
  <si>
    <t xml:space="preserve">           Vidutinė pensija</t>
  </si>
  <si>
    <t xml:space="preserve">           Išankstinių pensijų gavėjai</t>
  </si>
  <si>
    <t xml:space="preserve">           Vidutinė pensija </t>
  </si>
  <si>
    <t>tūkst.žm.</t>
  </si>
  <si>
    <t>tūkst.Eur</t>
  </si>
  <si>
    <t>tūkst. Eur</t>
  </si>
  <si>
    <t>-</t>
  </si>
  <si>
    <t xml:space="preserve">4 lentelė </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</si>
  <si>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</si>
  <si>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Vidutinis mėnesinis bruto darbo užmokestis, šalies ūkyje, įskaitant individualias įmones: </t>
  </si>
  <si>
    <t xml:space="preserve">          Senatvės pensijoms </t>
  </si>
  <si>
    <t xml:space="preserve">            Maitintojo netekimo pensijoms </t>
  </si>
  <si>
    <r>
      <t xml:space="preserve">2.1. </t>
    </r>
    <r>
      <rPr>
        <b/>
        <u/>
        <sz val="12"/>
        <rFont val="Times New Roman"/>
        <family val="1"/>
        <charset val="186"/>
      </rPr>
      <t xml:space="preserve">Pensijų socialiniam draudimui </t>
    </r>
  </si>
  <si>
    <r>
      <t>2.1.2.</t>
    </r>
    <r>
      <rPr>
        <b/>
        <u/>
        <sz val="10"/>
        <rFont val="Times New Roman"/>
        <family val="1"/>
        <charset val="186"/>
      </rPr>
      <t xml:space="preserve"> Netekto darbingumo (invalidumo) pensijoms </t>
    </r>
  </si>
  <si>
    <r>
      <t xml:space="preserve">            I</t>
    </r>
    <r>
      <rPr>
        <b/>
        <u/>
        <sz val="10"/>
        <rFont val="Times New Roman"/>
        <family val="1"/>
        <charset val="186"/>
      </rPr>
      <t xml:space="preserve">nvalidumo pensijoms </t>
    </r>
  </si>
  <si>
    <r>
      <t>2.1.3.</t>
    </r>
    <r>
      <rPr>
        <b/>
        <u/>
        <sz val="10"/>
        <rFont val="Times New Roman"/>
        <family val="1"/>
        <charset val="186"/>
      </rPr>
      <t xml:space="preserve"> Našlių ir našlaičių (maitintojo</t>
    </r>
  </si>
  <si>
    <r>
      <t xml:space="preserve">2.1.4. </t>
    </r>
    <r>
      <rPr>
        <b/>
        <u/>
        <sz val="10"/>
        <rFont val="Times New Roman"/>
        <family val="1"/>
        <charset val="186"/>
      </rPr>
      <t>Ištarnauto laiko pensijoms</t>
    </r>
  </si>
  <si>
    <r>
      <t xml:space="preserve">2.1.5. </t>
    </r>
    <r>
      <rPr>
        <b/>
        <u/>
        <sz val="10"/>
        <rFont val="Times New Roman"/>
        <family val="1"/>
        <charset val="186"/>
      </rPr>
      <t>Kompensacijoms už ypatingas darbo sąlygas</t>
    </r>
  </si>
  <si>
    <r>
      <t xml:space="preserve">           </t>
    </r>
    <r>
      <rPr>
        <b/>
        <u/>
        <sz val="10"/>
        <rFont val="Times New Roman"/>
        <family val="1"/>
        <charset val="186"/>
      </rPr>
      <t>laidojusiems asmenims</t>
    </r>
  </si>
  <si>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</si>
  <si>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</si>
  <si>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t xml:space="preserve">             Ligos išmokoms</t>
  </si>
  <si>
    <t xml:space="preserve">              Motinystės išmokoms</t>
  </si>
  <si>
    <t xml:space="preserve">   1.1.1.6.1. Asignavimai iš Lietuvos Respublikos valstybės biudžeto socialinio draudimo pagrindinei (bendrajai) pensijos daliai kompensuoti</t>
  </si>
  <si>
    <t xml:space="preserve">   1.1.1.8. Iš Rezervo fondo gautos lėšos</t>
  </si>
  <si>
    <t xml:space="preserve">   1.1.1.9. Europos Sąjungos institucijų pensijų sistemoje įgytos pensinės teisės</t>
  </si>
  <si>
    <t xml:space="preserve">   1.2.1.5. Garantinio fondo lėšos</t>
  </si>
  <si>
    <t xml:space="preserve">   1.2.1.6. Ilgalaikio darbo išmokų fondo lėšos</t>
  </si>
  <si>
    <t xml:space="preserve">   1.2.2. Piniginės išlaidos</t>
  </si>
  <si>
    <t xml:space="preserve">   1.2.2.5. Garantinio fondo lėšos</t>
  </si>
  <si>
    <t xml:space="preserve">   3.5. Įsipareigojimų pagal finansinės nuomos (lizingo) sutartis padengimas</t>
  </si>
  <si>
    <t xml:space="preserve">   5.1.1. Rezervinio fondo lėšos</t>
  </si>
  <si>
    <t xml:space="preserve">   5.1.2. Kitos lėšos</t>
  </si>
  <si>
    <t xml:space="preserve">   5.2.1. Rezervinio fondo lėšų</t>
  </si>
  <si>
    <t xml:space="preserve">   5.2.2. Kitų lėšų</t>
  </si>
  <si>
    <t xml:space="preserve">   5.3.2. Kitos lėšos</t>
  </si>
  <si>
    <t xml:space="preserve">   5.3.1. Rezervinio fondo lėšos</t>
  </si>
  <si>
    <t xml:space="preserve">   1.1.1.1.8.1. Pensijų socialiniam draudimui valstybės lėšomis</t>
  </si>
  <si>
    <t xml:space="preserve">   1.2.1.1. Lietuvos Respublikos valstybės biudžeto lėšos, skirtos išmokoms finansuoti</t>
  </si>
  <si>
    <t xml:space="preserve">   1.2.1.7. Kitos piniginės įplaukos</t>
  </si>
  <si>
    <t xml:space="preserve">   2.5. Išlaidos akcijoms, obligacijoms, kitiems vertybiniams popieriams įsigyti</t>
  </si>
  <si>
    <t>4. Grynųjų pinigų ir jų ekvivalentų pokytis</t>
  </si>
  <si>
    <t>5.  Grynųjų pinigų ir jų ekvivalentų cirkuliacija</t>
  </si>
  <si>
    <t xml:space="preserve">2020 m. </t>
  </si>
  <si>
    <t xml:space="preserve">   1.1.1.1.7. Nelaimingų atsitikimų darbe ir profesinių ligų socialiniam draudimui valstybės    lėšomis</t>
  </si>
  <si>
    <t xml:space="preserve">   1.1.1.3.1. Pensijų socialiniam draudimui</t>
  </si>
  <si>
    <t xml:space="preserve">   1.1.1.3.2. Ligos socialiniam draudimui</t>
  </si>
  <si>
    <t xml:space="preserve">   1.1.1.3.3. Motinystės socialiniam draudimui</t>
  </si>
  <si>
    <t xml:space="preserve">   1.1.1.3.4. Nedarbo socialiniam draudimui</t>
  </si>
  <si>
    <t>1.2. Kita Fondui pavesta veikla</t>
  </si>
  <si>
    <t>Metinė draudžiamųjų pajamų bazė ( perskaičiuota)</t>
  </si>
  <si>
    <t>VSD įmokas mokančių asmenų, turinčių verslo liudijimus  vid. metinis skaičius</t>
  </si>
  <si>
    <t>Piniginės įplaukos ir išlaidos</t>
  </si>
  <si>
    <r>
      <t xml:space="preserve">   </t>
    </r>
    <r>
      <rPr>
        <sz val="11"/>
        <color theme="1"/>
        <rFont val="Times New Roman"/>
        <family val="1"/>
        <charset val="186"/>
      </rPr>
      <t>Valiutų kursų pasikeitimo poveikis</t>
    </r>
  </si>
  <si>
    <t xml:space="preserve">   1.2.2.4. Pervedamos iš Lietuvos Respublikos valstybės biudžeto lėšų už pensijų kaupimo dalyvį mokamos kaupiamosios pensijų įmokos</t>
  </si>
  <si>
    <t xml:space="preserve">   1.2.2.3. Pervedamos pensijų kaupimo dalyvių mokamos kaupiamosios pensijų įmokos</t>
  </si>
  <si>
    <t>2019 m.</t>
  </si>
  <si>
    <r>
      <t xml:space="preserve">   </t>
    </r>
    <r>
      <rPr>
        <sz val="11"/>
        <color theme="1"/>
        <rFont val="Times New Roman"/>
        <family val="1"/>
        <charset val="186"/>
      </rPr>
      <t>1.1.2.3. Motinystės socialiniam draudimui</t>
    </r>
  </si>
  <si>
    <r>
      <t xml:space="preserve">   </t>
    </r>
    <r>
      <rPr>
        <sz val="11"/>
        <color theme="1"/>
        <rFont val="Times New Roman"/>
        <family val="1"/>
        <charset val="186"/>
      </rPr>
      <t>1.1.2.2. Ligos socialiniam draudimui</t>
    </r>
  </si>
  <si>
    <t xml:space="preserve">   1.1.1.7.1. Fondo veiklos sąnaudų kompensavimas už surinktas ir pervestas įmokas, už išmokų skyrimą ir mokėjimą</t>
  </si>
  <si>
    <t xml:space="preserve">   1.1.1.7. Veiklos pajamos ir iš įtraukto į Fondo apskaitą turto gaunamos pajamų įplaukos</t>
  </si>
  <si>
    <t xml:space="preserve">   1.1.1.3. Savarankiškai dirbančių asmenų valstybinio socialinio draudimo įmokos</t>
  </si>
  <si>
    <t xml:space="preserve">   1.1.1.2.3. Motinystės socialiniam draudimui</t>
  </si>
  <si>
    <t xml:space="preserve">   1.1.1.2.2. Ligos socialiniam draudimui</t>
  </si>
  <si>
    <t xml:space="preserve">   1.1.1.2.1. Pensijų socialiniam draudimui</t>
  </si>
  <si>
    <t xml:space="preserve">   1.1.1.1.6.1. Pensijų socialiniam draudimui valstybės lėšomis</t>
  </si>
  <si>
    <t xml:space="preserve">   1.1.1.1. Draudėjų valstybinio socialinio draudimo įmokos</t>
  </si>
  <si>
    <t xml:space="preserve">           (su atidėjinių pokyčiu)</t>
  </si>
  <si>
    <t xml:space="preserve">           Netekto darbingumo vienkartinių kompensacijų </t>
  </si>
  <si>
    <t xml:space="preserve">           atidėjiniai</t>
  </si>
  <si>
    <t xml:space="preserve">           atidėjinių pokytis</t>
  </si>
  <si>
    <t xml:space="preserve">           Vienkartinių draudimo išmokų apdraustajam</t>
  </si>
  <si>
    <t xml:space="preserve">           mirus atidėjiniai</t>
  </si>
  <si>
    <t xml:space="preserve">           mirus atidėjinių pokytis</t>
  </si>
  <si>
    <t xml:space="preserve">          Profesinėms ligoms</t>
  </si>
  <si>
    <t xml:space="preserve">          Traumoms darbe ir kelyje</t>
  </si>
  <si>
    <t xml:space="preserve">          Ligos dėl nelaimingo atsitikimo darbe, pakeliui</t>
  </si>
  <si>
    <t xml:space="preserve">           į darbą ar iš darbo arba profesinės ligos pašalpų</t>
  </si>
  <si>
    <t xml:space="preserve">          Terminuotam nedarbingumui</t>
  </si>
  <si>
    <t xml:space="preserve">         Neterminuotui nedarbingumui</t>
  </si>
  <si>
    <t xml:space="preserve">   Draudėjams, pas kuriuos per pastaruosius tris kalendorinius metus įvyko daugiausiai mirtinų ir sunkių nelaimingų atsitikimų darbe,  pripažintų draudiminiais įvykiais,  nelaimingų atsitikimų darbe ir profesinių ligų socialinio draudimo įmokos tarifas bus  0,7 proc. Jie bus priskirti  trečiajai įmokos tarifo grupei.                                   </t>
  </si>
  <si>
    <t xml:space="preserve">   Likusiems draudėjams įmokos tarifas bus 0,14 proc., jie bus priskirti pirmajai įmokos tarifo grupei.</t>
  </si>
  <si>
    <t xml:space="preserve">   Bendrasis šalies įmokos tarifo dydis šiai socialinio draudimo rūšiai bus 0,16 proc.</t>
  </si>
  <si>
    <t xml:space="preserve">             Ligos išmokų atidėjiniai</t>
  </si>
  <si>
    <t xml:space="preserve">             Ligos išmokų atidėjinių pokytis</t>
  </si>
  <si>
    <t xml:space="preserve">              Motinystės išmokų atidėjiniai</t>
  </si>
  <si>
    <t xml:space="preserve">              Motinystės išmokų atidėjinių pokytis</t>
  </si>
  <si>
    <t xml:space="preserve">2.3.1.2.1. Vaiko priežiūros išmokoms iki vaikui </t>
  </si>
  <si>
    <t xml:space="preserve">              Vaiko priežiūros išmokų atidėjiniai</t>
  </si>
  <si>
    <t xml:space="preserve">              Vaiko priežiūros išmokų atidėjinių pokytis</t>
  </si>
  <si>
    <t xml:space="preserve">              Tėvystės išmokų atidėjiniai</t>
  </si>
  <si>
    <t xml:space="preserve">              Tėvystės išmokų atidėjinių pokytis</t>
  </si>
  <si>
    <t xml:space="preserve">   1.2.2.6. Ilgalaikio darbo išmokų fondo lėšos</t>
  </si>
  <si>
    <t xml:space="preserve">   1.2.2.7. Kitos piniginės išlaidos</t>
  </si>
  <si>
    <t>Valstybinio socialinio draudimo išlaidų vidutiniai metiniai rodikliai:</t>
  </si>
  <si>
    <r>
      <t xml:space="preserve">2.1.1. </t>
    </r>
    <r>
      <rPr>
        <b/>
        <u/>
        <sz val="10"/>
        <rFont val="Times New Roman"/>
        <family val="1"/>
        <charset val="186"/>
      </rPr>
      <t xml:space="preserve">Senatvės pensijoms </t>
    </r>
    <r>
      <rPr>
        <sz val="10"/>
        <rFont val="Times New Roman"/>
        <family val="1"/>
        <charset val="186"/>
      </rPr>
      <t>(su įsipareigojimų pokyčiu)</t>
    </r>
  </si>
  <si>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</si>
  <si>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</si>
  <si>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 xml:space="preserve">       </t>
    </r>
    <r>
      <rPr>
        <sz val="10"/>
        <rFont val="Times New Roman"/>
        <family val="1"/>
        <charset val="186"/>
      </rPr>
      <t xml:space="preserve">   (su atidėjinių pokyčiu)</t>
    </r>
  </si>
  <si>
    <t xml:space="preserve">           Netekto darbingumo (invalidumo) pensijų gavėjai </t>
  </si>
  <si>
    <r>
      <t xml:space="preserve">             </t>
    </r>
    <r>
      <rPr>
        <b/>
        <u/>
        <sz val="10"/>
        <rFont val="Times New Roman"/>
        <family val="1"/>
        <charset val="186"/>
      </rPr>
      <t>Netekto darbingumo pensijoms</t>
    </r>
  </si>
  <si>
    <r>
      <t xml:space="preserve">           </t>
    </r>
    <r>
      <rPr>
        <sz val="10"/>
        <rFont val="Times New Roman"/>
        <family val="1"/>
        <charset val="186"/>
      </rPr>
      <t xml:space="preserve">   (su atidėjinių pokyčiu)</t>
    </r>
  </si>
  <si>
    <t xml:space="preserve">             Netekto darbingumo pensijoms </t>
  </si>
  <si>
    <t xml:space="preserve">             Vidutinė netekto darbingumo pensija </t>
  </si>
  <si>
    <t xml:space="preserve">             Netekto darbingumo pensijų atidėjiniai</t>
  </si>
  <si>
    <t xml:space="preserve">             Netekto darbingumo pensijų atidėjinių pokytis </t>
  </si>
  <si>
    <r>
      <t xml:space="preserve">           </t>
    </r>
    <r>
      <rPr>
        <b/>
        <u/>
        <sz val="10"/>
        <rFont val="Times New Roman"/>
        <family val="1"/>
        <charset val="186"/>
      </rPr>
      <t xml:space="preserve">netekimo) pensijoms </t>
    </r>
    <r>
      <rPr>
        <sz val="10"/>
        <rFont val="Times New Roman"/>
        <family val="1"/>
        <charset val="186"/>
      </rPr>
      <t>(su atidėjinių pokyčiu)</t>
    </r>
  </si>
  <si>
    <r>
      <t xml:space="preserve">            Našlaičių pensijoms</t>
    </r>
    <r>
      <rPr>
        <sz val="10"/>
        <rFont val="Times New Roman"/>
        <family val="1"/>
        <charset val="186"/>
      </rPr>
      <t xml:space="preserve"> (su atidėjinių pokyčiu)</t>
    </r>
  </si>
  <si>
    <r>
      <t xml:space="preserve">            Našlaičių pensijoms</t>
    </r>
    <r>
      <rPr>
        <b/>
        <sz val="8"/>
        <rFont val="Times New Roman"/>
        <family val="1"/>
        <charset val="186"/>
      </rPr>
      <t/>
    </r>
  </si>
  <si>
    <t xml:space="preserve">             Našlaičių pensijų atidėjiniai</t>
  </si>
  <si>
    <t xml:space="preserve">             Našlaičių pensijų atidėjinių pokytis </t>
  </si>
  <si>
    <t xml:space="preserve">            Našlių pensijoms </t>
  </si>
  <si>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</si>
  <si>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</si>
  <si>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</si>
  <si>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t xml:space="preserve">             Našlių pensijų atidėjiniai</t>
  </si>
  <si>
    <t xml:space="preserve">             Našlių pensijų atidėjinių pokytis </t>
  </si>
  <si>
    <r>
      <t xml:space="preserve">            Našlių pensijoms</t>
    </r>
    <r>
      <rPr>
        <b/>
        <sz val="8"/>
        <rFont val="Times New Roman"/>
        <family val="1"/>
        <charset val="186"/>
      </rPr>
      <t xml:space="preserve"> (už mirusius iki 95-01-01)</t>
    </r>
  </si>
  <si>
    <r>
      <t xml:space="preserve">2.1.6. </t>
    </r>
    <r>
      <rPr>
        <b/>
        <u/>
        <sz val="10"/>
        <rFont val="Times New Roman"/>
        <family val="1"/>
        <charset val="186"/>
      </rPr>
      <t>Išankstinėms senatvės pensijoms</t>
    </r>
  </si>
  <si>
    <r>
      <t xml:space="preserve">2.1.7. </t>
    </r>
    <r>
      <rPr>
        <b/>
        <u/>
        <sz val="10"/>
        <rFont val="Times New Roman"/>
        <family val="1"/>
        <charset val="186"/>
      </rPr>
      <t xml:space="preserve">Išmokoms mirusius pensijų gavėjus </t>
    </r>
  </si>
  <si>
    <r>
      <rPr>
        <b/>
        <sz val="11"/>
        <rFont val="Times New Roman"/>
        <family val="1"/>
        <charset val="186"/>
      </rPr>
      <t xml:space="preserve">2.6.  </t>
    </r>
    <r>
      <rPr>
        <b/>
        <u/>
        <sz val="11"/>
        <rFont val="Times New Roman"/>
        <family val="1"/>
        <charset val="186"/>
      </rPr>
      <t>Lėšos, pervedamos į pensijų fondus</t>
    </r>
  </si>
  <si>
    <r>
      <t>2.8.1.</t>
    </r>
    <r>
      <rPr>
        <b/>
        <u/>
        <sz val="10"/>
        <rFont val="Times New Roman"/>
        <family val="1"/>
        <charset val="186"/>
      </rPr>
      <t xml:space="preserve"> Fondo administravimo įstaigų finansavimo</t>
    </r>
  </si>
  <si>
    <r>
      <rPr>
        <b/>
        <sz val="10"/>
        <rFont val="Times New Roman"/>
        <family val="1"/>
        <charset val="186"/>
      </rPr>
      <t xml:space="preserve">        </t>
    </r>
    <r>
      <rPr>
        <b/>
        <u/>
        <sz val="10"/>
        <rFont val="Times New Roman"/>
        <family val="1"/>
        <charset val="186"/>
      </rPr>
      <t>sąnaudos</t>
    </r>
  </si>
  <si>
    <t>6 lentelė</t>
  </si>
  <si>
    <t xml:space="preserve">Asignavimų iš Lietuvos Respublikos valstybės biudžeto socialinio draudimo pagrindinei (bendrajai) pensijos daliai kompensuoti sumos </t>
  </si>
  <si>
    <t>Iš viso</t>
  </si>
  <si>
    <t>Priskaičiuota socialinio draudimo pensijų suma (tūkst. eur)</t>
  </si>
  <si>
    <t>1.7.1. Fondo veiklos sąnaudų kompensavimas už surinktas ir pervestas įmokas, už išmokų skyrimą ir mokėjimą</t>
  </si>
  <si>
    <t>1.2.3. Motinystės socialiniam draudimui</t>
  </si>
  <si>
    <t xml:space="preserve">1.2.2. Ligos socialiniam draudimui </t>
  </si>
  <si>
    <t xml:space="preserve">2021 m. </t>
  </si>
  <si>
    <t>mln.Eur</t>
  </si>
  <si>
    <t>mln. Eur</t>
  </si>
  <si>
    <t>Metinis darbo užmokesčio fondas</t>
  </si>
  <si>
    <t>1.1. Įprastinė Fondo veikla</t>
  </si>
  <si>
    <t xml:space="preserve">           Išmokų laidojusiems asmenims skaičius</t>
  </si>
  <si>
    <r>
      <t>- bendroji pensijų dalis</t>
    </r>
    <r>
      <rPr>
        <i/>
        <sz val="11"/>
        <color theme="1"/>
        <rFont val="Times New Roman"/>
        <family val="1"/>
        <charset val="186"/>
      </rPr>
      <t xml:space="preserve"> </t>
    </r>
  </si>
  <si>
    <t xml:space="preserve">- individualioji pensijų dalis </t>
  </si>
  <si>
    <t>2018 m. ataskaita</t>
  </si>
  <si>
    <t>2022 m. prognozė</t>
  </si>
  <si>
    <t>7 lentelė</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</si>
  <si>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</si>
  <si>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t>Remiantis: 1) Lietuvos statistikos departamento skelbiamais duomenimis - metinės bruto darbo apmokėjimo lėšos (šalies ūkis su individualiosiomis įmonėmis):</t>
  </si>
  <si>
    <t>2016 m. – 9 924 294,7 tūkst. Eur;</t>
  </si>
  <si>
    <t>2017 m. – 10 845 720,1 tūkst. Eur;</t>
  </si>
  <si>
    <t>2018 m. – 12 047 733,9 tūkst. Eur;</t>
  </si>
  <si>
    <t>2) Finansų ministerijos Ekonominės raidos scenarijuje skelbiamais metinio darbo užmokesčio fondo prognozės duomenimis:</t>
  </si>
  <si>
    <t>apskaičiuojami darbo užmokesčio fondų metiniai pokyčiai:</t>
  </si>
  <si>
    <r>
      <t>DUF</t>
    </r>
    <r>
      <rPr>
        <vertAlign val="subscript"/>
        <sz val="12"/>
        <color theme="1"/>
        <rFont val="Times New Roman"/>
        <family val="1"/>
        <charset val="186"/>
      </rPr>
      <t xml:space="preserve">2017 </t>
    </r>
    <r>
      <rPr>
        <sz val="12"/>
        <color theme="1"/>
        <rFont val="Times New Roman"/>
        <family val="1"/>
        <charset val="186"/>
      </rPr>
      <t>/ DUF</t>
    </r>
    <r>
      <rPr>
        <vertAlign val="subscript"/>
        <sz val="12"/>
        <color theme="1"/>
        <rFont val="Times New Roman"/>
        <family val="1"/>
        <charset val="186"/>
      </rPr>
      <t>2016</t>
    </r>
    <r>
      <rPr>
        <sz val="12"/>
        <color theme="1"/>
        <rFont val="Times New Roman"/>
        <family val="1"/>
        <charset val="186"/>
      </rPr>
      <t>-1 = 0,0928;</t>
    </r>
  </si>
  <si>
    <r>
      <t>DUF</t>
    </r>
    <r>
      <rPr>
        <vertAlign val="subscript"/>
        <sz val="12"/>
        <color theme="1"/>
        <rFont val="Times New Roman"/>
        <family val="1"/>
        <charset val="186"/>
      </rPr>
      <t xml:space="preserve">2018 </t>
    </r>
    <r>
      <rPr>
        <sz val="12"/>
        <color theme="1"/>
        <rFont val="Times New Roman"/>
        <family val="1"/>
        <charset val="186"/>
      </rPr>
      <t>/ DUF</t>
    </r>
    <r>
      <rPr>
        <vertAlign val="subscript"/>
        <sz val="12"/>
        <color theme="1"/>
        <rFont val="Times New Roman"/>
        <family val="1"/>
        <charset val="186"/>
      </rPr>
      <t>2017</t>
    </r>
    <r>
      <rPr>
        <sz val="12"/>
        <color theme="1"/>
        <rFont val="Times New Roman"/>
        <family val="1"/>
        <charset val="186"/>
      </rPr>
      <t>-1 = 0,1108;</t>
    </r>
  </si>
  <si>
    <t xml:space="preserve">7 metų darbo užmokesčio fondo pokyčių vidurkis: </t>
  </si>
  <si>
    <r>
      <t>λ</t>
    </r>
    <r>
      <rPr>
        <b/>
        <vertAlign val="subscript"/>
        <sz val="14"/>
        <color theme="1"/>
        <rFont val="Times New Roman"/>
        <family val="1"/>
        <charset val="186"/>
      </rPr>
      <t xml:space="preserve">2020 </t>
    </r>
    <r>
      <rPr>
        <sz val="14"/>
        <color theme="1"/>
        <rFont val="Times New Roman"/>
        <family val="1"/>
        <charset val="186"/>
      </rPr>
      <t>=</t>
    </r>
  </si>
  <si>
    <t>2018 m.</t>
  </si>
  <si>
    <t>2020 m.</t>
  </si>
  <si>
    <t xml:space="preserve">   1.1.1.2. Apdraustųjų valstybinio socialinio draudimo įmokos </t>
  </si>
  <si>
    <t xml:space="preserve">   1.1.1.7.1.4. Garantinis fondas</t>
  </si>
  <si>
    <t xml:space="preserve">   1.1.1.7.1.5. Ilgalaikio darbo išmokų fondas</t>
  </si>
  <si>
    <t xml:space="preserve">   1.1.1.7.1.6. Kitos kompensavimo sumos</t>
  </si>
  <si>
    <t xml:space="preserve">   1.1.1.10. Iš pensijų fondų grąžintos lėšos</t>
  </si>
  <si>
    <t xml:space="preserve">   1.2.1.4. Iš Lietuvos Respublikos valstybės biudžeto lėšų už pensijų kaupimo dalyvį mokamos papildomos kaupiamosios pensijų įmokos</t>
  </si>
  <si>
    <t xml:space="preserve">   2.1. Išlaidos nematerialiajam turtui įsigyti</t>
  </si>
  <si>
    <t xml:space="preserve">   2.2. Įplaukos, gautos pardavus nematerialųjį turtą </t>
  </si>
  <si>
    <t xml:space="preserve">2022 m. </t>
  </si>
  <si>
    <t>Nedarbo draudimo išmokoms</t>
  </si>
  <si>
    <t>Nedarbo draudimo išmokų atidėjiniai</t>
  </si>
  <si>
    <t>Nedarbo draudimo išmokų atidėjinių pokytis</t>
  </si>
  <si>
    <r>
      <t xml:space="preserve">2.8.2. </t>
    </r>
    <r>
      <rPr>
        <b/>
        <u/>
        <sz val="10"/>
        <rFont val="Times New Roman"/>
        <family val="1"/>
        <charset val="186"/>
      </rPr>
      <t>Ilgalaikio turto nusidėvėjimas (amortizacija)</t>
    </r>
  </si>
  <si>
    <r>
      <t>T</t>
    </r>
    <r>
      <rPr>
        <vertAlign val="subscript"/>
        <sz val="10"/>
        <color theme="1"/>
        <rFont val="Times New Roman"/>
        <family val="1"/>
        <charset val="186"/>
      </rPr>
      <t xml:space="preserve"> skyrimo ir mokėjimo</t>
    </r>
    <r>
      <rPr>
        <sz val="10"/>
        <color theme="1"/>
        <rFont val="Times New Roman"/>
        <family val="1"/>
        <charset val="186"/>
      </rPr>
      <t xml:space="preserve"> – veiklos sąnaudų susijusių su išmokų, finansuojamų iš valstybės biudžeto, skyrimu ir mokėjimu, kompensavimo procentinis dydis;</t>
    </r>
  </si>
  <si>
    <r>
      <rPr>
        <sz val="12"/>
        <rFont val="Times New Roman"/>
        <family val="1"/>
        <charset val="186"/>
      </rPr>
      <t xml:space="preserve">T </t>
    </r>
    <r>
      <rPr>
        <vertAlign val="subscript"/>
        <sz val="12"/>
        <rFont val="Times New Roman"/>
        <family val="1"/>
        <charset val="186"/>
      </rPr>
      <t>pristatymo</t>
    </r>
    <r>
      <rPr>
        <b/>
        <sz val="12"/>
        <rFont val="Times New Roman"/>
        <family val="1"/>
        <charset val="186"/>
      </rPr>
      <t xml:space="preserve"> = </t>
    </r>
    <r>
      <rPr>
        <sz val="12"/>
        <rFont val="Times New Roman"/>
        <family val="1"/>
        <charset val="186"/>
      </rPr>
      <t>0,2 proc.</t>
    </r>
  </si>
  <si>
    <r>
      <t xml:space="preserve">T = 1,2 + 0,2 = </t>
    </r>
    <r>
      <rPr>
        <b/>
        <sz val="12"/>
        <rFont val="Times New Roman"/>
        <family val="1"/>
        <charset val="186"/>
      </rPr>
      <t>1,4 proc.</t>
    </r>
  </si>
  <si>
    <r>
      <t>T</t>
    </r>
    <r>
      <rPr>
        <vertAlign val="subscript"/>
        <sz val="10"/>
        <rFont val="Times New Roman"/>
        <family val="1"/>
        <charset val="186"/>
      </rPr>
      <t>sveikat.</t>
    </r>
    <r>
      <rPr>
        <sz val="10"/>
        <rFont val="Times New Roman"/>
        <family val="1"/>
        <charset val="186"/>
      </rPr>
      <t xml:space="preserve"> - procentinis dydis, Fondo administravimo įstaigų veiklos sąnaudų kompensavimui už sveikatos draudimo įmokų surinkimą ir pervedimą į Privalomajį sveikatos draudimo fondą (proc.).</t>
    </r>
  </si>
  <si>
    <r>
      <t>T</t>
    </r>
    <r>
      <rPr>
        <vertAlign val="subscript"/>
        <sz val="10"/>
        <rFont val="Times New Roman"/>
        <family val="1"/>
        <charset val="186"/>
      </rPr>
      <t>G</t>
    </r>
    <r>
      <rPr>
        <sz val="10"/>
        <rFont val="Times New Roman"/>
        <family val="1"/>
        <charset val="186"/>
      </rPr>
      <t xml:space="preserve"> - procentinis dydis, Fondo administravimo įstaigų veiklos sąnaudų kompensavimui už įmokų surinkimą ir pervedimą į Garantinį fondą (proc.).</t>
    </r>
  </si>
  <si>
    <r>
      <t>T</t>
    </r>
    <r>
      <rPr>
        <vertAlign val="subscript"/>
        <sz val="10"/>
        <rFont val="Times New Roman"/>
        <family val="1"/>
        <charset val="186"/>
      </rPr>
      <t>Ilg</t>
    </r>
    <r>
      <rPr>
        <sz val="10"/>
        <rFont val="Times New Roman"/>
        <family val="1"/>
        <charset val="186"/>
      </rPr>
      <t xml:space="preserve"> - procentinis dydis, Fondo administravimo įstaigų veiklos sąnaudų kompensavimui už įmokų surinkimą ir pervedimą į Ilgalaikio darbo išmokų fondą (proc.).</t>
    </r>
  </si>
  <si>
    <r>
      <t>T</t>
    </r>
    <r>
      <rPr>
        <vertAlign val="subscript"/>
        <sz val="10"/>
        <rFont val="Times New Roman"/>
        <family val="1"/>
        <charset val="186"/>
      </rPr>
      <t>PDL</t>
    </r>
    <r>
      <rPr>
        <sz val="10"/>
        <rFont val="Times New Roman"/>
        <family val="1"/>
        <charset val="186"/>
      </rPr>
      <t xml:space="preserve"> - procentinis dydis, Fondo administravimo įstaigų veiklos sąnaudų kompensavimui už dalyvio lėšomis mokamų įmokų į pensijų fondus administravimą (proc.).</t>
    </r>
  </si>
  <si>
    <r>
      <t>T</t>
    </r>
    <r>
      <rPr>
        <vertAlign val="subscript"/>
        <sz val="10"/>
        <rFont val="Times New Roman"/>
        <family val="1"/>
        <charset val="186"/>
      </rPr>
      <t>PVB</t>
    </r>
    <r>
      <rPr>
        <sz val="10"/>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</si>
  <si>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t>Vidutinis gavėjų skaičius</t>
  </si>
  <si>
    <t>Vidutinė išmoka</t>
  </si>
  <si>
    <t>Valstybinio socialinio draudimo bazinė pensija</t>
  </si>
  <si>
    <t>Vidutinė metinė pagrindinė pensijos dalis</t>
  </si>
  <si>
    <t>Draudžiamosios pajamos</t>
  </si>
  <si>
    <t>Pensijų indeksavimo koeficientas</t>
  </si>
  <si>
    <t>Mokamų pensijų skaičius</t>
  </si>
  <si>
    <t xml:space="preserve">Vidutinės senatvės pensijos, turint būtinąjį </t>
  </si>
  <si>
    <t>stažą, santykis su vid. mėn. apdraustųjų pajamomis</t>
  </si>
  <si>
    <t>nuo kurių skaičiuojamos VSD įmokos</t>
  </si>
  <si>
    <t>dydžio, socialinio draudimo našlių pensijos bazinio dydžio, pensijų apskaitos</t>
  </si>
  <si>
    <t xml:space="preserve"> vieneto dydžio skaičiavimai</t>
  </si>
  <si>
    <t xml:space="preserve">Nuo 2019 m. sausio 1 d. bendroji socialinio draudimo pensijų dalis yra finansuojama iš Lietuvos Respublikos valstybės biudžeto lėšų. </t>
  </si>
  <si>
    <t xml:space="preserve">1.8.  Europos Sąjungos institucijų pensijų sistemoje įgytos pensinės teisės </t>
  </si>
  <si>
    <t>1.9.Iš pensijų fondų grąžintos lėšos</t>
  </si>
  <si>
    <t>Bazinės pensijos indeksavimo koeficientas</t>
  </si>
  <si>
    <t>2019 m. ataskaita</t>
  </si>
  <si>
    <t>2020 m. laukiama</t>
  </si>
  <si>
    <t>2021 m. projektas</t>
  </si>
  <si>
    <t>2023 m. prognozė</t>
  </si>
  <si>
    <t>Lietuvos Respublikos valstybinio socialinio draudimo fondo biudžeto 2021 m.</t>
  </si>
  <si>
    <t xml:space="preserve">2.3.1.2.2. Vaiko priežiūros išmokoms už vaiką nuo </t>
  </si>
  <si>
    <t xml:space="preserve">              vienų iki dvejų metų </t>
  </si>
  <si>
    <t xml:space="preserve">2023 m. </t>
  </si>
  <si>
    <t xml:space="preserve">   Draudėjams, pas kuriuos per pastaruosius tris kalendorinius metus įvyko mažiau mirtinų ir sunkių nelaimingų atsitikimų darbe, pripažintų draudiminiais įvykiais, nelaimingų atsitikimų darbe ir profesinių ligų socialinio draudimo įmokos tarifas bus  0,47 proc.  Jie bus priskirti antrajai įmokos tarifo grupei.                                                                                                                                                                                                      </t>
  </si>
  <si>
    <t xml:space="preserve">   Valstybinei darbo inspekcijai pateikus informaciją apie laikotarpiu nuo 2019.11.01 iki 2020.11.01 nustatytus darbuotojų saugos ir sveikatos teisės aktų pažeidimus, dėl kurių buvo sustabdyti darbai, draudėjai bus priskiriami atitinkamai aukštesnei - antrajai, trečiajai ar ketvirtajai- nelaimingų atsitikimų darbe ir profesinių ligų įmokos tarifo grupei. Ketvirtosios įmokos tarifo grupės tarifo dydis bus 1,4 proc.</t>
  </si>
  <si>
    <t>Valstybinio socialinio draudimo fondo administravimo įstaigų veiklos sąnaudų, susijusių su išmokų, finansuojamų iš valstybės biudžeto, skyrimo, mokėjimo ir pristatymo, kompensavimo dydžio apskaičiavimas 2021 metams</t>
  </si>
  <si>
    <t xml:space="preserve"> Planuojamos vidutinės veiklos sąnaudos, tenkančios vienai pareigybei Fondo administravimo įstaigose 2021 metais:</t>
  </si>
  <si>
    <r>
      <t>PV</t>
    </r>
    <r>
      <rPr>
        <vertAlign val="subscript"/>
        <sz val="12"/>
        <color theme="1"/>
        <rFont val="Times New Roman"/>
        <family val="1"/>
        <charset val="186"/>
      </rPr>
      <t>B</t>
    </r>
    <r>
      <rPr>
        <sz val="12"/>
        <color theme="1"/>
        <rFont val="Times New Roman"/>
        <family val="1"/>
        <charset val="186"/>
      </rPr>
      <t xml:space="preserve"> = (94750,0 – 7100,0 – 2700,0)/ 3324 = 25,56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</si>
  <si>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2021 m. (tūkst. Eur)</t>
    </r>
  </si>
  <si>
    <t>VS – planuojamos Fondo veiklos sąnaudos 2021 m. (94 750,0 tūkst. Eur)</t>
  </si>
  <si>
    <t>PAM – planuojamos palūkanos, paskolų administravimo mokesčiai 2021 m. (2 700,0 tūkst. Eur)</t>
  </si>
  <si>
    <t>IM – planuojamos išmokų mokėjimo sąnaudos 2021 m. (7 100,0 tūkst. Eur)</t>
  </si>
  <si>
    <r>
      <t>PSK</t>
    </r>
    <r>
      <rPr>
        <vertAlign val="subscript"/>
        <sz val="10"/>
        <rFont val="Times New Roman"/>
        <family val="1"/>
        <charset val="186"/>
      </rPr>
      <t>B</t>
    </r>
    <r>
      <rPr>
        <sz val="10"/>
        <rFont val="Times New Roman"/>
        <family val="1"/>
        <charset val="186"/>
      </rPr>
      <t xml:space="preserve"> – planuojamas bendras pareigybių skaičius Fondo administravimo įstaigose 2021 m. (3324,0 pareigybės)</t>
    </r>
  </si>
  <si>
    <t xml:space="preserve"> Planuojamos Fondo administravimo įstaigų veiklos sąnaudos susijusios su išmokų, finansuojamų iš valstybės biudžeto, skyrimu ir mokėjimu,  2021 m.: </t>
  </si>
  <si>
    <r>
      <t xml:space="preserve">VS </t>
    </r>
    <r>
      <rPr>
        <vertAlign val="subscript"/>
        <sz val="12"/>
        <color theme="1"/>
        <rFont val="Times New Roman"/>
        <family val="1"/>
        <charset val="186"/>
      </rPr>
      <t>skyrimo ir mokėjimo</t>
    </r>
    <r>
      <rPr>
        <sz val="12"/>
        <color theme="1"/>
        <rFont val="Times New Roman"/>
        <family val="1"/>
        <charset val="186"/>
      </rPr>
      <t xml:space="preserve"> = 25,56</t>
    </r>
    <r>
      <rPr>
        <vertAlign val="subscript"/>
        <sz val="12"/>
        <color theme="1"/>
        <rFont val="Times New Roman"/>
        <family val="1"/>
        <charset val="186"/>
      </rPr>
      <t xml:space="preserve"> </t>
    </r>
    <r>
      <rPr>
        <sz val="12"/>
        <color theme="1"/>
        <rFont val="Times New Roman"/>
        <family val="1"/>
        <charset val="186"/>
      </rPr>
      <t>× 174</t>
    </r>
    <r>
      <rPr>
        <vertAlign val="subscript"/>
        <sz val="12"/>
        <color theme="1"/>
        <rFont val="Times New Roman"/>
        <family val="1"/>
        <charset val="186"/>
      </rPr>
      <t xml:space="preserve"> </t>
    </r>
    <r>
      <rPr>
        <sz val="12"/>
        <color theme="1"/>
        <rFont val="Times New Roman"/>
        <family val="1"/>
        <charset val="186"/>
      </rPr>
      <t>= 4447,0 tūkst. Eur</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</si>
  <si>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2021 m.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</si>
  <si>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2021 m. (25,56 tūkst. Eur)</t>
    </r>
  </si>
  <si>
    <r>
      <t>PSK</t>
    </r>
    <r>
      <rPr>
        <vertAlign val="subscript"/>
        <sz val="10"/>
        <color theme="1"/>
        <rFont val="Times New Roman"/>
        <family val="1"/>
        <charset val="186"/>
      </rPr>
      <t>vb</t>
    </r>
    <r>
      <rPr>
        <sz val="10"/>
        <color theme="1"/>
        <rFont val="Times New (W1)"/>
        <family val="1"/>
      </rPr>
      <t xml:space="preserve"> – planuojamas pareigybių skaičius Fondo administravimo įstaigose išmokų, finansuojamų iš valstybės biudžeto, skyrimui ir mokėjimui 2021 metais (174 pareigybės);</t>
    </r>
  </si>
  <si>
    <t>Veiklos sąnaudų susijusių su išmokų, finansuojamų iš valstybės biudžeto, skyrimu ir mokėjimu, kompensavimo procentinis dydis 2021 metais:</t>
  </si>
  <si>
    <r>
      <t xml:space="preserve">VS </t>
    </r>
    <r>
      <rPr>
        <vertAlign val="subscript"/>
        <sz val="10"/>
        <color theme="1"/>
        <rFont val="Times New Roman"/>
        <family val="1"/>
        <charset val="186"/>
      </rPr>
      <t>skyrimo ir mokėjimo</t>
    </r>
    <r>
      <rPr>
        <sz val="10"/>
        <color theme="1"/>
        <rFont val="Times New Roman"/>
        <family val="1"/>
        <charset val="186"/>
      </rPr>
      <t xml:space="preserve"> – planuojamos Fondo administravimo įstaigų veiklos sąnaudos susijusios su išmokų, finansuojamų iš valstybės biudžeto, skyrimu ir mokėjimu 2021 m. ( 4447,0 tūkst. Eur)</t>
    </r>
  </si>
  <si>
    <r>
      <t xml:space="preserve">2021 metų veiklos sąnaudų susijusių su išmokų, finansuojamų iš valstybės biudžeto, pristatymu, kompensavimo procentinis dydis (T </t>
    </r>
    <r>
      <rPr>
        <vertAlign val="subscript"/>
        <sz val="10"/>
        <rFont val="Times New Roman"/>
        <family val="1"/>
        <charset val="186"/>
      </rPr>
      <t>pristatymo)</t>
    </r>
    <r>
      <rPr>
        <sz val="10"/>
        <rFont val="Times New Roman"/>
        <family val="1"/>
        <charset val="186"/>
      </rPr>
      <t xml:space="preserve"> , numatomas įvertinus paskutinius turimus ataskaitinio laikotarpio duomenis bei naujai pasirašytų sutarčių su išmokų pristatymo įstaigomis įtaką. (2020 m. I pusm. šis tarifas, buvo 0,2 proc.). Planuojama, kad 2021 metų pristatymo tarifas bus 0,2 proc.</t>
    </r>
  </si>
  <si>
    <t>Veiklos sąnaudų susijusių su išmokų, finansuojamų iš valstybės biudžeto, skyrimu, mokėjimu ir pristatymu, kompensavimo procentinis dydis 2021 metais:</t>
  </si>
  <si>
    <r>
      <t xml:space="preserve">T </t>
    </r>
    <r>
      <rPr>
        <vertAlign val="subscript"/>
        <sz val="10"/>
        <rFont val="Times New Roman"/>
        <family val="1"/>
        <charset val="186"/>
      </rPr>
      <t>skyrimo ir mokėjimo</t>
    </r>
    <r>
      <rPr>
        <sz val="10"/>
        <rFont val="Times New Roman"/>
        <family val="1"/>
        <charset val="186"/>
      </rPr>
      <t xml:space="preserve"> – veiklos sąnaudų susijusių su išmokų, finansuojamų iš valstybės biudžeto, skyrimu ir mokėjimu, kompensavimo procentinis dydis 2021 m. (1,2 proc.);</t>
    </r>
  </si>
  <si>
    <r>
      <t>T</t>
    </r>
    <r>
      <rPr>
        <vertAlign val="subscript"/>
        <sz val="10"/>
        <rFont val="Times New Roman"/>
        <family val="1"/>
        <charset val="186"/>
      </rPr>
      <t xml:space="preserve"> pristatymo</t>
    </r>
    <r>
      <rPr>
        <sz val="10"/>
        <rFont val="Times New Roman"/>
        <family val="1"/>
        <charset val="186"/>
      </rPr>
      <t xml:space="preserve"> – veiklos sąnaudų susijusių su išmokų, finansuojamų iš valstybės biudžeto, pristatymo kompensavimo procentinis dydis 2021 m. (0,2 proc.).</t>
    </r>
  </si>
  <si>
    <t>Valstybinio socialinio draudimo fondo administravimo įstaigų veiklos sąnaudų, patiriamų surenkant ir pervedant įmokas į fondus, kompensavimo dydžio apskaičiavimas 2021 metams</t>
  </si>
  <si>
    <t>Veiklos sąnaudos, patiriamos surenkant ir pervedant sveikatos draudimo įmokas į Privalomąjį sveikatos draudimo fondą 2021 m.:</t>
  </si>
  <si>
    <r>
      <t>VS</t>
    </r>
    <r>
      <rPr>
        <vertAlign val="subscript"/>
        <sz val="12"/>
        <rFont val="Times New Roman"/>
        <family val="1"/>
        <charset val="186"/>
      </rPr>
      <t>sveikat.</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×79 = 2019 tūkst. Eur </t>
    </r>
  </si>
  <si>
    <r>
      <t>VS</t>
    </r>
    <r>
      <rPr>
        <vertAlign val="subscript"/>
        <sz val="10"/>
        <rFont val="Times New Roman"/>
        <family val="1"/>
        <charset val="186"/>
      </rPr>
      <t>svaikat.</t>
    </r>
    <r>
      <rPr>
        <sz val="10"/>
        <rFont val="Times New Roman"/>
        <family val="1"/>
        <charset val="186"/>
      </rPr>
      <t>- veiklos sąnaudos, patiriamos surenkant ir pervedant sveikatos draudimo įmokas į Privalomąjį sveikatos draudimo fondą 2021 m. (tūkst. Eur).</t>
    </r>
  </si>
  <si>
    <r>
      <t>PV</t>
    </r>
    <r>
      <rPr>
        <vertAlign val="subscript"/>
        <sz val="10"/>
        <rFont val="Times New Roman"/>
        <family val="1"/>
        <charset val="186"/>
      </rPr>
      <t>B</t>
    </r>
    <r>
      <rPr>
        <sz val="10"/>
        <rFont val="Times New Roman"/>
        <family val="1"/>
        <charset val="186"/>
      </rPr>
      <t xml:space="preserve"> - planuojamos vidutinės veiklos sąnaudos, tenkančios vienai pareigybei, 2021 m. ( 25,56 tūkst. Eur)</t>
    </r>
  </si>
  <si>
    <r>
      <t>PSK</t>
    </r>
    <r>
      <rPr>
        <vertAlign val="subscript"/>
        <sz val="10"/>
        <rFont val="Times New Roman"/>
        <family val="1"/>
        <charset val="186"/>
      </rPr>
      <t>svaikat.</t>
    </r>
    <r>
      <rPr>
        <sz val="10"/>
        <rFont val="Times New Roman"/>
        <family val="1"/>
        <charset val="186"/>
      </rPr>
      <t xml:space="preserve"> – planuojamas pareigybių, susijusių su įmokų į Privalomajį sveikatos draudimo fondą surinkimu ir pervedimu, skaičius 2021 m. (79 pareigybės)</t>
    </r>
  </si>
  <si>
    <r>
      <t>Veiklos sąnaudų, patiriamų surenkant ir pervedant sveikatos draudimo įmokas į Privalomąjį sveikatos draudimo fondą, kompensavimo procentinis dydis (T</t>
    </r>
    <r>
      <rPr>
        <vertAlign val="subscript"/>
        <sz val="10"/>
        <rFont val="Times New Roman"/>
        <family val="1"/>
        <charset val="186"/>
      </rPr>
      <t>sveikat.</t>
    </r>
    <r>
      <rPr>
        <sz val="10"/>
        <rFont val="Times New Roman"/>
        <family val="1"/>
        <charset val="186"/>
      </rPr>
      <t>) 2021 m.:</t>
    </r>
  </si>
  <si>
    <r>
      <t>VS</t>
    </r>
    <r>
      <rPr>
        <vertAlign val="subscript"/>
        <sz val="10"/>
        <rFont val="Times New Roman"/>
        <family val="1"/>
        <charset val="186"/>
      </rPr>
      <t>sveikat.</t>
    </r>
    <r>
      <rPr>
        <sz val="10"/>
        <rFont val="Times New Roman"/>
        <family val="1"/>
        <charset val="186"/>
      </rPr>
      <t>- veiklos sąnaudos, patiriamos surenkant ir pervedant sveikatos draudimo įmokas į Privalomąjį sveikatos draudimo fondą 2021 m. (2019 tūkst. Eur).</t>
    </r>
  </si>
  <si>
    <t>Veiklos sąnaudos, patiriamos surenkant ir pervedant įmokas į Garantinį fondą 2021 m.:</t>
  </si>
  <si>
    <r>
      <t>VS</t>
    </r>
    <r>
      <rPr>
        <vertAlign val="subscript"/>
        <sz val="10"/>
        <rFont val="Times New Roman"/>
        <family val="1"/>
        <charset val="186"/>
      </rPr>
      <t>G</t>
    </r>
    <r>
      <rPr>
        <sz val="10"/>
        <rFont val="Times New Roman"/>
        <family val="1"/>
        <charset val="186"/>
      </rPr>
      <t>- veiklos sąnaudos, patiriamos surenkant ir pervedant įmokas į Garantinį fondą 2021 m. (tūkst. Eur).</t>
    </r>
  </si>
  <si>
    <r>
      <t>Veiklos sąnaudų, patiriamų surenkant ir pervedant įmokas į Garantinį fondą, kompensavimo procentinis dydis (T</t>
    </r>
    <r>
      <rPr>
        <vertAlign val="subscript"/>
        <sz val="10"/>
        <rFont val="Times New Roman"/>
        <family val="1"/>
        <charset val="186"/>
      </rPr>
      <t>G</t>
    </r>
    <r>
      <rPr>
        <sz val="10"/>
        <rFont val="Times New Roman"/>
        <family val="1"/>
        <charset val="186"/>
      </rPr>
      <t>) 2021 m.:</t>
    </r>
  </si>
  <si>
    <t>Veiklos sąnaudos, patiriamos surenkant ir pervedant įmokas į Ilgalaikio darbo išmokų fondą 2021 m.:</t>
  </si>
  <si>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2021 m. (tūkst. Eur).</t>
    </r>
  </si>
  <si>
    <r>
      <t>Veiklos sąnaudų, patiriamų surenkant ir pervedant įmokas į Ilgalaikio darbo išmokų fondą, kompensavimo procentinis dydis (T</t>
    </r>
    <r>
      <rPr>
        <vertAlign val="subscript"/>
        <sz val="10"/>
        <rFont val="Times New Roman"/>
        <family val="1"/>
        <charset val="186"/>
      </rPr>
      <t>Ilg</t>
    </r>
    <r>
      <rPr>
        <sz val="10"/>
        <rFont val="Times New Roman"/>
        <family val="1"/>
        <charset val="186"/>
      </rPr>
      <t>) 2021 m.:</t>
    </r>
  </si>
  <si>
    <t>Veiklos sąnaudos, patiriamos surenkant ir pervedant dalyvio lėšomis mokamas įmokas į pensijų fondus 2021 m.:</t>
  </si>
  <si>
    <r>
      <t>VS</t>
    </r>
    <r>
      <rPr>
        <vertAlign val="subscript"/>
        <sz val="12"/>
        <rFont val="Times New Roman"/>
        <family val="1"/>
        <charset val="186"/>
      </rPr>
      <t>PDL</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 16,7 = 427 tūkst. Eur </t>
    </r>
  </si>
  <si>
    <r>
      <t>VS</t>
    </r>
    <r>
      <rPr>
        <vertAlign val="subscript"/>
        <sz val="10"/>
        <rFont val="Times New Roman"/>
        <family val="1"/>
        <charset val="186"/>
      </rPr>
      <t>PDL</t>
    </r>
    <r>
      <rPr>
        <sz val="10"/>
        <rFont val="Times New Roman"/>
        <family val="1"/>
        <charset val="186"/>
      </rPr>
      <t>- veiklos sąnaudos, patiriamos pervedant dalyvio lėšomis mokamas įmokas į pensijų fondus 2021 m. (tūkst. Eur).</t>
    </r>
  </si>
  <si>
    <r>
      <t>PSK</t>
    </r>
    <r>
      <rPr>
        <vertAlign val="subscript"/>
        <sz val="10"/>
        <rFont val="Times New Roman"/>
        <family val="1"/>
        <charset val="186"/>
      </rPr>
      <t>PDL</t>
    </r>
    <r>
      <rPr>
        <sz val="10"/>
        <rFont val="Times New Roman"/>
        <family val="1"/>
        <charset val="186"/>
      </rPr>
      <t xml:space="preserve"> – planuojamas pareigybių, susijusių su dalyvio lėšomis mokamų įmokų surinkimu ir pervedimu į pensijų fondus, skaičius 2021 m. (16,7 pareigybių)</t>
    </r>
  </si>
  <si>
    <r>
      <t>Veiklos sąnaudų, patiriamų surenkant ir pervedant dalyvio lėšomis mokamas įmokas į pensijų fondus, kompensavimo procentinis dydis (T</t>
    </r>
    <r>
      <rPr>
        <vertAlign val="subscript"/>
        <sz val="10"/>
        <rFont val="Times New Roman"/>
        <family val="1"/>
        <charset val="186"/>
      </rPr>
      <t>PDL</t>
    </r>
    <r>
      <rPr>
        <sz val="10"/>
        <rFont val="Times New Roman"/>
        <family val="1"/>
        <charset val="186"/>
      </rPr>
      <t>) 2021 m.:</t>
    </r>
  </si>
  <si>
    <r>
      <t>T</t>
    </r>
    <r>
      <rPr>
        <vertAlign val="subscript"/>
        <sz val="12"/>
        <rFont val="Times New Roman"/>
        <family val="1"/>
        <charset val="186"/>
      </rPr>
      <t>PDL</t>
    </r>
    <r>
      <rPr>
        <sz val="12"/>
        <rFont val="Times New Roman"/>
        <family val="1"/>
        <charset val="186"/>
      </rPr>
      <t xml:space="preserve"> = 427/336100,8  × 100 =</t>
    </r>
    <r>
      <rPr>
        <b/>
        <sz val="12"/>
        <rFont val="Times New Roman"/>
        <family val="1"/>
        <charset val="186"/>
      </rPr>
      <t xml:space="preserve"> 0,13 proc. </t>
    </r>
  </si>
  <si>
    <r>
      <t>VS</t>
    </r>
    <r>
      <rPr>
        <vertAlign val="subscript"/>
        <sz val="10"/>
        <rFont val="Times New Roman"/>
        <family val="1"/>
        <charset val="186"/>
      </rPr>
      <t>PDL</t>
    </r>
    <r>
      <rPr>
        <sz val="10"/>
        <rFont val="Times New Roman"/>
        <family val="1"/>
        <charset val="186"/>
      </rPr>
      <t>- veiklos sąnaudos, patiriamos surenkant ir pervedant dalyvio lėšomis mokamas įmokas į pensijų fondus 2021 m. (427 tūkst. Eur).</t>
    </r>
  </si>
  <si>
    <r>
      <t xml:space="preserve">SUM </t>
    </r>
    <r>
      <rPr>
        <vertAlign val="subscript"/>
        <sz val="10"/>
        <rFont val="Times New Roman"/>
        <family val="1"/>
        <charset val="186"/>
      </rPr>
      <t>PDL</t>
    </r>
    <r>
      <rPr>
        <sz val="10"/>
        <rFont val="Times New Roman"/>
        <family val="1"/>
        <charset val="186"/>
      </rPr>
      <t xml:space="preserve"> – planuojama pervesti dalyvio lėšomis mokamų įmokų suma į pensijų fondus 2021 metais (336 100,8 tūkst. Eur);</t>
    </r>
  </si>
  <si>
    <t>Veiklos sąnaudos, patiriamos pervedant iš valstybės biudžeto už pensijų kaupimo dalyvį mokamas įmokas į pensijų fondus 2021 m.:</t>
  </si>
  <si>
    <r>
      <t>VS</t>
    </r>
    <r>
      <rPr>
        <vertAlign val="subscript"/>
        <sz val="12"/>
        <rFont val="Times New Roman"/>
        <family val="1"/>
        <charset val="186"/>
      </rPr>
      <t xml:space="preserve">PVB </t>
    </r>
    <r>
      <rPr>
        <sz val="12"/>
        <rFont val="Times New Roman"/>
        <family val="1"/>
        <charset val="186"/>
      </rPr>
      <t xml:space="preserve">= 25,56 × 5,3 = 135,0 tūkst. Eur </t>
    </r>
  </si>
  <si>
    <r>
      <t>VS</t>
    </r>
    <r>
      <rPr>
        <vertAlign val="subscript"/>
        <sz val="10"/>
        <rFont val="Times New Roman"/>
        <family val="1"/>
        <charset val="186"/>
      </rPr>
      <t>PVB</t>
    </r>
    <r>
      <rPr>
        <sz val="10"/>
        <rFont val="Times New Roman"/>
        <family val="1"/>
        <charset val="186"/>
      </rPr>
      <t>- veiklos sąnaudos, patiriamos pervedant iš valstybės biudžeto už pensijų kaupimo dalyvį mokamas įmokas į pensijų fondus 2021 m. (tūkst. Eur).</t>
    </r>
  </si>
  <si>
    <r>
      <t>PSK</t>
    </r>
    <r>
      <rPr>
        <vertAlign val="subscript"/>
        <sz val="10"/>
        <rFont val="Times New Roman"/>
        <family val="1"/>
        <charset val="186"/>
      </rPr>
      <t>PVB</t>
    </r>
    <r>
      <rPr>
        <sz val="10"/>
        <rFont val="Times New Roman"/>
        <family val="1"/>
        <charset val="186"/>
      </rPr>
      <t xml:space="preserve"> – planuojamas pareigybių, susijusių su iš valstybės biudžeto už pensijų kaupimo dalyvį mokamų įmokų pervedimu į pensijų fondus, skaičius 2021 m. (5,3 pareigybės)</t>
    </r>
  </si>
  <si>
    <r>
      <t>Veiklos sąnaudų, patiriamų pervedant iš valstybės biudžeto už pensijų kaupimo dalyvį mokamas įmokas į pensijų fondus, kompensavimo procentinis dydis (T</t>
    </r>
    <r>
      <rPr>
        <vertAlign val="subscript"/>
        <sz val="10"/>
        <rFont val="Times New Roman"/>
        <family val="1"/>
        <charset val="186"/>
      </rPr>
      <t>PVB</t>
    </r>
    <r>
      <rPr>
        <sz val="10"/>
        <rFont val="Times New Roman"/>
        <family val="1"/>
        <charset val="186"/>
      </rPr>
      <t>) 2021 m.:</t>
    </r>
  </si>
  <si>
    <r>
      <t>T</t>
    </r>
    <r>
      <rPr>
        <vertAlign val="subscript"/>
        <sz val="12"/>
        <rFont val="Times New Roman"/>
        <family val="1"/>
        <charset val="186"/>
      </rPr>
      <t>PVB</t>
    </r>
    <r>
      <rPr>
        <sz val="12"/>
        <rFont val="Times New Roman"/>
        <family val="1"/>
        <charset val="186"/>
      </rPr>
      <t xml:space="preserve"> = 135/158997  × 100 = </t>
    </r>
    <r>
      <rPr>
        <b/>
        <sz val="12"/>
        <rFont val="Times New Roman"/>
        <family val="1"/>
        <charset val="186"/>
      </rPr>
      <t xml:space="preserve">0,09  proc. </t>
    </r>
  </si>
  <si>
    <r>
      <t>VS</t>
    </r>
    <r>
      <rPr>
        <vertAlign val="subscript"/>
        <sz val="10"/>
        <rFont val="Times New Roman"/>
        <family val="1"/>
        <charset val="186"/>
      </rPr>
      <t>PVB</t>
    </r>
    <r>
      <rPr>
        <sz val="10"/>
        <rFont val="Times New Roman"/>
        <family val="1"/>
        <charset val="186"/>
      </rPr>
      <t>- veiklos sąnaudos, susijusios su iš valstybės biudžeto už pensijų kaupimo dalyvį mokamų įmokų administravimu 2021 m. (135,0 tūkst. Eur).</t>
    </r>
  </si>
  <si>
    <r>
      <t xml:space="preserve">SUM </t>
    </r>
    <r>
      <rPr>
        <vertAlign val="subscript"/>
        <sz val="10"/>
        <rFont val="Times New Roman"/>
        <family val="1"/>
        <charset val="186"/>
      </rPr>
      <t>PVB</t>
    </r>
    <r>
      <rPr>
        <sz val="10"/>
        <rFont val="Times New Roman"/>
        <family val="1"/>
        <charset val="186"/>
      </rPr>
      <t xml:space="preserve"> – planuojama pervesti iš valstybės biudžeto už pensijų kaupimo dalyvį mokamų įmokų suma į pensijų fondus 2021 metais (158 997 tūkst. Eur);</t>
    </r>
  </si>
  <si>
    <t>Vidutinis šalies darbo užmokestis, taikomas apdraustųjų asmenų 2021 m. valstybinio socialinio draudimo įmokų bazei skaičiuoti</t>
  </si>
  <si>
    <t>2019 m. III ketv. - 1306,3 Eur,</t>
  </si>
  <si>
    <t>2019 m. IV ketv. - 1346,7 Eur,</t>
  </si>
  <si>
    <t>2020 m. I ketv. - 1370,2 Eur,</t>
  </si>
  <si>
    <t>2020 m. II ketv. - 1387,6 Eur.</t>
  </si>
  <si>
    <t>Vidutinis šalies darbo užmokestis, taikomas apdraustųjų asmenų 2021 m. valstybinio socialinio draudimo įmokų bazei skaičiuoti:</t>
  </si>
  <si>
    <t>(1306,3 + 1346,7 + 1370,2 + 1387,6)/4  = 1352,7 Eur</t>
  </si>
  <si>
    <t xml:space="preserve">Turimais 2020 metų finansiniais duomenimis bendroji pensijų dalis sudaro apie 55,43 proc. visų socialinio draudimo pensijų išlaidų.  Planuojama, kad ši dalis 2021-2023 metais nekis ir bendroji pensijų dalis sudarys 55,43 proc. visų socialinio draudimo pensijų išlaidų. </t>
  </si>
  <si>
    <t>Prognozuojama, kad bendrosios socialinio draudimo pensijų  dalies suma 2021 metais bus 2 066 555 tūkst. Eur.</t>
  </si>
  <si>
    <t>2021 metų pensijų indeksavimo koeficiento, socialinio draudimo bazinės pensijos</t>
  </si>
  <si>
    <r>
      <t>1.</t>
    </r>
    <r>
      <rPr>
        <sz val="7"/>
        <color theme="1"/>
        <rFont val="Times New Roman"/>
        <family val="1"/>
        <charset val="186"/>
      </rPr>
      <t>   </t>
    </r>
    <r>
      <rPr>
        <sz val="12"/>
        <color theme="1"/>
        <rFont val="Times New Roman"/>
        <family val="1"/>
        <charset val="186"/>
      </rPr>
      <t>2021 metų indeksavimo koeficientas (toliau - IK) apskaičiuojamas pagal formulę IK</t>
    </r>
    <r>
      <rPr>
        <vertAlign val="subscript"/>
        <sz val="12"/>
        <color theme="1"/>
        <rFont val="Times New Roman"/>
        <family val="1"/>
        <charset val="186"/>
      </rPr>
      <t>2021</t>
    </r>
    <r>
      <rPr>
        <sz val="12"/>
        <color theme="1"/>
        <rFont val="Times New Roman"/>
        <family val="1"/>
        <charset val="186"/>
      </rPr>
      <t>=1+λ</t>
    </r>
    <r>
      <rPr>
        <vertAlign val="subscript"/>
        <sz val="12"/>
        <color theme="1"/>
        <rFont val="Times New Roman"/>
        <family val="1"/>
        <charset val="186"/>
      </rPr>
      <t xml:space="preserve">2021, </t>
    </r>
    <r>
      <rPr>
        <sz val="12"/>
        <color theme="1"/>
        <rFont val="Times New Roman"/>
        <family val="1"/>
        <charset val="186"/>
      </rPr>
      <t>kur</t>
    </r>
    <r>
      <rPr>
        <vertAlign val="subscript"/>
        <sz val="12"/>
        <color theme="1"/>
        <rFont val="Times New Roman"/>
        <family val="1"/>
        <charset val="186"/>
      </rPr>
      <t xml:space="preserve"> </t>
    </r>
    <r>
      <rPr>
        <sz val="12"/>
        <color theme="1"/>
        <rFont val="Times New Roman"/>
        <family val="1"/>
        <charset val="186"/>
      </rPr>
      <t xml:space="preserve"> λ</t>
    </r>
    <r>
      <rPr>
        <vertAlign val="subscript"/>
        <sz val="12"/>
        <color theme="1"/>
        <rFont val="Times New Roman"/>
        <family val="1"/>
        <charset val="186"/>
      </rPr>
      <t>2021</t>
    </r>
    <r>
      <rPr>
        <sz val="12"/>
        <color theme="1"/>
        <rFont val="Times New Roman"/>
        <family val="1"/>
        <charset val="186"/>
      </rPr>
      <t xml:space="preserve"> yra 7 metų darbo užmokesčio fondo pokyčių vidurkis apskaičiuojamas pagal formulę :</t>
    </r>
  </si>
  <si>
    <t>2019 m. – 17 216 855,2 tūkst. Eur;</t>
  </si>
  <si>
    <t>2021 m.</t>
  </si>
  <si>
    <r>
      <t>DUF</t>
    </r>
    <r>
      <rPr>
        <vertAlign val="subscript"/>
        <sz val="12"/>
        <color theme="1"/>
        <rFont val="Times New Roman"/>
        <family val="1"/>
        <charset val="186"/>
      </rPr>
      <t xml:space="preserve">2019 </t>
    </r>
    <r>
      <rPr>
        <sz val="12"/>
        <color theme="1"/>
        <rFont val="Times New Roman"/>
        <family val="1"/>
        <charset val="186"/>
      </rPr>
      <t>/( DUF</t>
    </r>
    <r>
      <rPr>
        <vertAlign val="subscript"/>
        <sz val="12"/>
        <color theme="1"/>
        <rFont val="Times New Roman"/>
        <family val="1"/>
        <charset val="186"/>
      </rPr>
      <t>2018</t>
    </r>
    <r>
      <rPr>
        <sz val="12"/>
        <color theme="1"/>
        <rFont val="Calibri"/>
        <family val="2"/>
        <charset val="186"/>
      </rPr>
      <t>×1,289)</t>
    </r>
    <r>
      <rPr>
        <sz val="12"/>
        <color theme="1"/>
        <rFont val="Times New Roman"/>
        <family val="1"/>
        <charset val="186"/>
      </rPr>
      <t>-1 = 0,1087;</t>
    </r>
  </si>
  <si>
    <r>
      <t>2.</t>
    </r>
    <r>
      <rPr>
        <sz val="7"/>
        <color theme="1"/>
        <rFont val="Times New Roman"/>
        <family val="1"/>
        <charset val="186"/>
      </rPr>
      <t>   </t>
    </r>
    <r>
      <rPr>
        <sz val="12"/>
        <color theme="1"/>
        <rFont val="Times New Roman"/>
        <family val="1"/>
        <charset val="186"/>
      </rPr>
      <t xml:space="preserve">Apskaičiuojamos prognozuojamų </t>
    </r>
    <r>
      <rPr>
        <b/>
        <sz val="12"/>
        <color theme="1"/>
        <rFont val="Times New Roman"/>
        <family val="1"/>
        <charset val="186"/>
      </rPr>
      <t xml:space="preserve">2021 metų </t>
    </r>
    <r>
      <rPr>
        <sz val="12"/>
        <color theme="1"/>
        <rFont val="Times New Roman"/>
        <family val="1"/>
        <charset val="186"/>
      </rPr>
      <t>pensijų socialinio draudimo rūšies įplaukos,</t>
    </r>
  </si>
  <si>
    <t>4. Socialinio draudimo bazinės pensijos dydis apskaičiuojamas euro cento tikslumu dauginant 2020 m. bazinės pensijos dydį iš 2021 metų bazinės pensijos indeksavimo koeficiento:</t>
  </si>
  <si>
    <t>2020 m. socialinio draudimo bazinės pensijos dydis  – 180,95 eurai;</t>
  </si>
  <si>
    <t>5. Socialinio draudimo našlių pensijos bazinis dydis apskaičiuojamas euro cento tikslumu dauginant 2020 m. našlių pensijos bazinį dydį iš 2021 metų pensijų indeksavimo koeficiento:</t>
  </si>
  <si>
    <t>2020 m. socialinio draudimo našlių pensijos bazinis dydis – 26,13 eurai;</t>
  </si>
  <si>
    <t>6. Pensijų apskaitos vieneto vertės dydis apskaičiuojamas euro cento tikslumu dauginant 2020 m. galiojusį apskaitos vieneto dydį dauginant iš 2021 metų pensijų indeksavimo koeficiento:</t>
  </si>
  <si>
    <t>2020 m. pensijų apskaitos vieneto vertė – 3,81 euro;</t>
  </si>
  <si>
    <r>
      <t xml:space="preserve">2.2. </t>
    </r>
    <r>
      <rPr>
        <b/>
        <u/>
        <sz val="12"/>
        <rFont val="Times New Roman"/>
        <family val="1"/>
        <charset val="186"/>
      </rPr>
      <t>Ligos socialiniam draudimui</t>
    </r>
  </si>
  <si>
    <r>
      <t xml:space="preserve">2.2.1. </t>
    </r>
    <r>
      <rPr>
        <b/>
        <u/>
        <sz val="11"/>
        <rFont val="Times New Roman"/>
        <family val="1"/>
        <charset val="186"/>
      </rPr>
      <t xml:space="preserve">Privalomajam valstybiniam </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</si>
  <si>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</si>
  <si>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2.2.1.1. </t>
    </r>
    <r>
      <rPr>
        <b/>
        <u/>
        <sz val="10"/>
        <rFont val="Times New Roman"/>
        <family val="1"/>
        <charset val="186"/>
      </rPr>
      <t>Ligos išmokoms</t>
    </r>
    <r>
      <rPr>
        <u/>
        <sz val="10"/>
        <rFont val="Times New Roman"/>
        <family val="1"/>
        <charset val="186"/>
      </rPr>
      <t xml:space="preserve"> (su atidėjinių pokyčiu)</t>
    </r>
  </si>
  <si>
    <r>
      <rPr>
        <b/>
        <sz val="10"/>
        <rFont val="Times New Roman"/>
        <family val="1"/>
        <charset val="186"/>
      </rPr>
      <t xml:space="preserve">2.2.1.2. </t>
    </r>
    <r>
      <rPr>
        <b/>
        <u/>
        <sz val="10"/>
        <rFont val="Times New Roman"/>
        <family val="1"/>
        <charset val="186"/>
      </rPr>
      <t>Profesinės reabilitacijos išmokoms</t>
    </r>
  </si>
  <si>
    <r>
      <t xml:space="preserve">2.2.2. </t>
    </r>
    <r>
      <rPr>
        <b/>
        <u/>
        <sz val="11"/>
        <rFont val="Times New Roman"/>
        <family val="1"/>
        <charset val="186"/>
      </rPr>
      <t xml:space="preserve">Savanoriškajam valstybiniam </t>
    </r>
  </si>
  <si>
    <r>
      <t xml:space="preserve">          </t>
    </r>
    <r>
      <rPr>
        <b/>
        <u/>
        <sz val="11"/>
        <rFont val="Times New Roman"/>
        <family val="1"/>
        <charset val="186"/>
      </rPr>
      <t xml:space="preserve"> socialiniam draudimui</t>
    </r>
  </si>
  <si>
    <r>
      <t xml:space="preserve">2.3.  </t>
    </r>
    <r>
      <rPr>
        <b/>
        <u/>
        <sz val="12"/>
        <rFont val="Times New Roman"/>
        <family val="1"/>
        <charset val="186"/>
      </rPr>
      <t>Motinystės socialiniam draudimui</t>
    </r>
  </si>
  <si>
    <r>
      <t xml:space="preserve">2.3.1. </t>
    </r>
    <r>
      <rPr>
        <b/>
        <u/>
        <sz val="11"/>
        <rFont val="Times New Roman"/>
        <family val="1"/>
        <charset val="186"/>
      </rPr>
      <t>Privalomajam valstybiniam</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</si>
  <si>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</si>
  <si>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2.3.1.1. </t>
    </r>
    <r>
      <rPr>
        <b/>
        <u/>
        <sz val="10"/>
        <rFont val="Times New Roman"/>
        <family val="1"/>
        <charset val="186"/>
      </rPr>
      <t>Motinystės išmokoms</t>
    </r>
    <r>
      <rPr>
        <sz val="10"/>
        <rFont val="Times New Roman"/>
        <family val="1"/>
        <charset val="186"/>
      </rPr>
      <t xml:space="preserve"> (su atidėjinių pokyčiu)</t>
    </r>
  </si>
  <si>
    <r>
      <rPr>
        <b/>
        <sz val="10"/>
        <rFont val="Times New Roman"/>
        <family val="1"/>
        <charset val="186"/>
      </rPr>
      <t xml:space="preserve">2.3.1.2.  </t>
    </r>
    <r>
      <rPr>
        <b/>
        <u/>
        <sz val="10"/>
        <rFont val="Times New Roman"/>
        <family val="1"/>
        <charset val="186"/>
      </rPr>
      <t>Vaiko priežiūros išmokoms</t>
    </r>
    <r>
      <rPr>
        <sz val="10"/>
        <rFont val="Times New Roman"/>
        <family val="1"/>
        <charset val="186"/>
      </rPr>
      <t xml:space="preserve"> (su atidėjinių pokyčiu)</t>
    </r>
  </si>
  <si>
    <r>
      <t xml:space="preserve">              sukaks vieni metai</t>
    </r>
    <r>
      <rPr>
        <sz val="10"/>
        <rFont val="Times New Roman"/>
        <family val="1"/>
        <charset val="186"/>
      </rPr>
      <t xml:space="preserve"> (su atidėjinių pokyčiu)</t>
    </r>
  </si>
  <si>
    <r>
      <t xml:space="preserve">              </t>
    </r>
    <r>
      <rPr>
        <sz val="10"/>
        <rFont val="Times New Roman"/>
        <family val="1"/>
        <charset val="186"/>
      </rPr>
      <t>Vaiko priežiūros išmokoms</t>
    </r>
  </si>
  <si>
    <r>
      <rPr>
        <b/>
        <sz val="10"/>
        <rFont val="Times New Roman"/>
        <family val="1"/>
        <charset val="186"/>
      </rPr>
      <t xml:space="preserve">2.3.1.3. </t>
    </r>
    <r>
      <rPr>
        <b/>
        <u/>
        <sz val="10"/>
        <rFont val="Times New Roman"/>
        <family val="1"/>
        <charset val="186"/>
      </rPr>
      <t>Tėvystės išmokoms</t>
    </r>
    <r>
      <rPr>
        <sz val="10"/>
        <rFont val="Times New Roman"/>
        <family val="1"/>
        <charset val="186"/>
      </rPr>
      <t xml:space="preserve"> (su atidėjinių pokyčiu)</t>
    </r>
  </si>
  <si>
    <r>
      <t xml:space="preserve">              </t>
    </r>
    <r>
      <rPr>
        <sz val="10"/>
        <rFont val="Times New Roman"/>
        <family val="1"/>
        <charset val="186"/>
      </rPr>
      <t>Tėvystės išmokoms</t>
    </r>
  </si>
  <si>
    <r>
      <t xml:space="preserve">2.3.2. </t>
    </r>
    <r>
      <rPr>
        <b/>
        <u/>
        <sz val="11"/>
        <rFont val="Times New Roman"/>
        <family val="1"/>
        <charset val="186"/>
      </rPr>
      <t xml:space="preserve">Savanoriškajam valstybiniam </t>
    </r>
  </si>
  <si>
    <r>
      <t xml:space="preserve">           </t>
    </r>
    <r>
      <rPr>
        <b/>
        <u/>
        <sz val="11"/>
        <rFont val="Times New Roman"/>
        <family val="1"/>
        <charset val="186"/>
      </rPr>
      <t>socialiniam draudimui motinystės išmokoms</t>
    </r>
  </si>
  <si>
    <r>
      <t xml:space="preserve">2.4. </t>
    </r>
    <r>
      <rPr>
        <b/>
        <u/>
        <sz val="12"/>
        <rFont val="Times New Roman"/>
        <family val="1"/>
        <charset val="186"/>
      </rPr>
      <t>Nedarbo socialiniam draudimui</t>
    </r>
  </si>
  <si>
    <r>
      <t xml:space="preserve">2.4.1. </t>
    </r>
    <r>
      <rPr>
        <b/>
        <u/>
        <sz val="10"/>
        <rFont val="Times New Roman"/>
        <family val="1"/>
        <charset val="186"/>
      </rPr>
      <t>Nedarbo draudimo išmokoms</t>
    </r>
    <r>
      <rPr>
        <sz val="10"/>
        <rFont val="Times New Roman"/>
        <family val="1"/>
        <charset val="186"/>
      </rPr>
      <t xml:space="preserve"> (su atidėjinių pokyčiu)</t>
    </r>
  </si>
  <si>
    <r>
      <t xml:space="preserve">2.5. </t>
    </r>
    <r>
      <rPr>
        <b/>
        <u/>
        <sz val="11"/>
        <rFont val="Times New Roman"/>
        <family val="1"/>
        <charset val="186"/>
      </rPr>
      <t xml:space="preserve">Nelaimingų atsitikimų darbe ir profesinių </t>
    </r>
  </si>
  <si>
    <r>
      <t xml:space="preserve">       </t>
    </r>
    <r>
      <rPr>
        <b/>
        <u/>
        <sz val="11"/>
        <rFont val="Times New Roman"/>
        <family val="1"/>
        <charset val="186"/>
      </rPr>
      <t>ligų socialiniam draudimui</t>
    </r>
  </si>
  <si>
    <r>
      <t xml:space="preserve">2.5.1. </t>
    </r>
    <r>
      <rPr>
        <b/>
        <u/>
        <sz val="10"/>
        <rFont val="Times New Roman"/>
        <family val="1"/>
        <charset val="186"/>
      </rPr>
      <t>Ligos dėl nelaimingo atsitikimo darbe, pakeliui</t>
    </r>
  </si>
  <si>
    <r>
      <t xml:space="preserve">           </t>
    </r>
    <r>
      <rPr>
        <b/>
        <u/>
        <sz val="10"/>
        <rFont val="Times New Roman"/>
        <family val="1"/>
        <charset val="186"/>
      </rPr>
      <t>į darbą ar iš darbo arba profesinės ligos pašalpoms</t>
    </r>
  </si>
  <si>
    <r>
      <t xml:space="preserve">2.5.2. </t>
    </r>
    <r>
      <rPr>
        <b/>
        <u/>
        <sz val="10"/>
        <rFont val="Times New Roman"/>
        <family val="1"/>
        <charset val="186"/>
      </rPr>
      <t>Netekto darbingumo vienkartinei kompensacijai</t>
    </r>
  </si>
  <si>
    <r>
      <t xml:space="preserve">2.5.3. </t>
    </r>
    <r>
      <rPr>
        <b/>
        <u/>
        <sz val="10"/>
        <rFont val="Times New Roman"/>
        <family val="1"/>
        <charset val="186"/>
      </rPr>
      <t xml:space="preserve"> Netekto darbingumo periodinei kompensacijai</t>
    </r>
  </si>
  <si>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</si>
  <si>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</si>
  <si>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r>
      <t xml:space="preserve"> 2.5.5. </t>
    </r>
    <r>
      <rPr>
        <b/>
        <u/>
        <sz val="10"/>
        <rFont val="Times New Roman"/>
        <family val="1"/>
        <charset val="186"/>
      </rPr>
      <t>Periodinei draudimo išmokai apdraustajam mirus</t>
    </r>
  </si>
  <si>
    <t xml:space="preserve">2021 m. projektas </t>
  </si>
  <si>
    <r>
      <t xml:space="preserve">T </t>
    </r>
    <r>
      <rPr>
        <vertAlign val="subscript"/>
        <sz val="12"/>
        <color theme="1"/>
        <rFont val="Times New Roman"/>
        <family val="1"/>
        <charset val="186"/>
      </rPr>
      <t>skyrimo ir mokėjimo</t>
    </r>
    <r>
      <rPr>
        <sz val="12"/>
        <color theme="1"/>
        <rFont val="Times New Roman"/>
        <family val="1"/>
        <charset val="186"/>
      </rPr>
      <t xml:space="preserve">  = 4447/ 359159,1 × 100 =</t>
    </r>
    <r>
      <rPr>
        <sz val="12"/>
        <rFont val="Times New Roman"/>
        <family val="1"/>
        <charset val="186"/>
      </rPr>
      <t xml:space="preserve"> 1,2 proc.</t>
    </r>
  </si>
  <si>
    <r>
      <t>I</t>
    </r>
    <r>
      <rPr>
        <vertAlign val="subscript"/>
        <sz val="10"/>
        <rFont val="Times New (W1)"/>
        <family val="1"/>
      </rPr>
      <t>s</t>
    </r>
    <r>
      <rPr>
        <sz val="10"/>
        <rFont val="Times New (W1)"/>
        <family val="1"/>
      </rPr>
      <t xml:space="preserve"> – išmokų, finansuojamų iš valstybės biudžeto, planinė suma 2021 m.  (359159,1 tūkst. Eur);</t>
    </r>
  </si>
  <si>
    <t>Nelaimingų atsitikimų darbe ir profesinių ligų socialinio draudimo įmokos tarifų grupės 2021 metais</t>
  </si>
  <si>
    <r>
      <t xml:space="preserve">SUM </t>
    </r>
    <r>
      <rPr>
        <vertAlign val="subscript"/>
        <sz val="10"/>
        <rFont val="Times New Roman"/>
        <family val="1"/>
        <charset val="186"/>
      </rPr>
      <t>Ilg</t>
    </r>
    <r>
      <rPr>
        <sz val="10"/>
        <rFont val="Times New Roman"/>
        <family val="1"/>
        <charset val="186"/>
      </rPr>
      <t xml:space="preserve"> – planuojamos darbdavių įmokos į Ilgalaikio darbo išmokų fondą 2021 metais (26 079,0  tūkst. Eur);</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</si>
  <si>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2021 m. (81,0 tūkst. Eur).</t>
    </r>
  </si>
  <si>
    <r>
      <t>T</t>
    </r>
    <r>
      <rPr>
        <vertAlign val="subscript"/>
        <sz val="12"/>
        <rFont val="Times New Roman"/>
        <family val="1"/>
        <charset val="186"/>
      </rPr>
      <t>Ilg</t>
    </r>
    <r>
      <rPr>
        <sz val="12"/>
        <rFont val="Times New Roman"/>
        <family val="1"/>
        <charset val="186"/>
      </rPr>
      <t xml:space="preserve"> = 81/26079 × 100 =</t>
    </r>
    <r>
      <rPr>
        <b/>
        <sz val="12"/>
        <rFont val="Times New Roman"/>
        <family val="1"/>
        <charset val="186"/>
      </rPr>
      <t xml:space="preserve"> 0,31 proc. </t>
    </r>
  </si>
  <si>
    <r>
      <t>PSK</t>
    </r>
    <r>
      <rPr>
        <vertAlign val="subscript"/>
        <sz val="10"/>
        <rFont val="Times New Roman"/>
        <family val="1"/>
        <charset val="186"/>
      </rPr>
      <t>Ilg</t>
    </r>
    <r>
      <rPr>
        <sz val="10"/>
        <rFont val="Times New Roman"/>
        <family val="1"/>
        <charset val="186"/>
      </rPr>
      <t xml:space="preserve"> – planuojamas pareigybių, susijusių su įmokų į Ilgalaikio darbo išmokų fondą surinkimu ir pervedimu, skaičius 2021 m. (3,15 pareigybės)</t>
    </r>
  </si>
  <si>
    <r>
      <t>VS</t>
    </r>
    <r>
      <rPr>
        <vertAlign val="subscript"/>
        <sz val="12"/>
        <rFont val="Times New Roman"/>
        <family val="1"/>
        <charset val="186"/>
      </rPr>
      <t>Ilg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 3,15 = 81,0 tūkst. Eur </t>
    </r>
  </si>
  <si>
    <r>
      <t xml:space="preserve">SUM </t>
    </r>
    <r>
      <rPr>
        <vertAlign val="subscript"/>
        <sz val="10"/>
        <rFont val="Times New Roman"/>
        <family val="1"/>
        <charset val="186"/>
      </rPr>
      <t>G</t>
    </r>
    <r>
      <rPr>
        <sz val="10"/>
        <rFont val="Times New Roman"/>
        <family val="1"/>
        <charset val="186"/>
      </rPr>
      <t xml:space="preserve"> – planuojamos darbdavių įmokos į Garantinį fondą 2021 metais (26 079,0  tūkst. Eur);</t>
    </r>
  </si>
  <si>
    <r>
      <t>VS</t>
    </r>
    <r>
      <rPr>
        <vertAlign val="subscript"/>
        <sz val="10"/>
        <rFont val="Times New Roman"/>
        <family val="1"/>
        <charset val="186"/>
      </rPr>
      <t>G</t>
    </r>
    <r>
      <rPr>
        <sz val="10"/>
        <rFont val="Times New Roman"/>
        <family val="1"/>
        <charset val="186"/>
      </rPr>
      <t>- veiklos sąnaudos, patiriamos surenkant ir pervedant įmokas į Garantinį fondą 2021 m. (81,0 tūkst. Eur).</t>
    </r>
  </si>
  <si>
    <r>
      <t>T</t>
    </r>
    <r>
      <rPr>
        <vertAlign val="subscript"/>
        <sz val="12"/>
        <rFont val="Times New Roman"/>
        <family val="1"/>
        <charset val="186"/>
      </rPr>
      <t>G</t>
    </r>
    <r>
      <rPr>
        <sz val="12"/>
        <rFont val="Times New Roman"/>
        <family val="1"/>
        <charset val="186"/>
      </rPr>
      <t xml:space="preserve"> = 81/26079 × 100 =</t>
    </r>
    <r>
      <rPr>
        <b/>
        <sz val="12"/>
        <rFont val="Times New Roman"/>
        <family val="1"/>
        <charset val="186"/>
      </rPr>
      <t xml:space="preserve"> 0,31 proc. </t>
    </r>
  </si>
  <si>
    <r>
      <t>PSK</t>
    </r>
    <r>
      <rPr>
        <vertAlign val="subscript"/>
        <sz val="10"/>
        <rFont val="Times New Roman"/>
        <family val="1"/>
        <charset val="186"/>
      </rPr>
      <t>G</t>
    </r>
    <r>
      <rPr>
        <sz val="10"/>
        <rFont val="Times New Roman"/>
        <family val="1"/>
        <charset val="186"/>
      </rPr>
      <t xml:space="preserve"> – planuojamas pareigybių, susijusių su įmokų į Garantinį fondą surinkimu ir pervedimu, skaičius 2021 m. (3,15 pareigybės)</t>
    </r>
  </si>
  <si>
    <r>
      <t>VS</t>
    </r>
    <r>
      <rPr>
        <vertAlign val="subscript"/>
        <sz val="12"/>
        <rFont val="Times New Roman"/>
        <family val="1"/>
        <charset val="186"/>
      </rPr>
      <t>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 3,15 = 81,0 tūkst. Eur </t>
    </r>
  </si>
  <si>
    <r>
      <t xml:space="preserve">SUM </t>
    </r>
    <r>
      <rPr>
        <vertAlign val="subscript"/>
        <sz val="10"/>
        <rFont val="Times New Roman"/>
        <family val="1"/>
        <charset val="186"/>
      </rPr>
      <t>sveikat.</t>
    </r>
    <r>
      <rPr>
        <sz val="10"/>
        <rFont val="Times New Roman"/>
        <family val="1"/>
        <charset val="186"/>
      </rPr>
      <t xml:space="preserve"> – planuojamos sveikatos draudimo įmokos į Privalomąjį sveikatos draudimo fondą 2021 metais      (1 535 089  tūkst. Eur);</t>
    </r>
  </si>
  <si>
    <r>
      <t>T</t>
    </r>
    <r>
      <rPr>
        <vertAlign val="subscript"/>
        <sz val="12"/>
        <rFont val="Times New Roman"/>
        <family val="1"/>
        <charset val="186"/>
      </rPr>
      <t>sveikat.</t>
    </r>
    <r>
      <rPr>
        <sz val="12"/>
        <rFont val="Times New Roman"/>
        <family val="1"/>
        <charset val="186"/>
      </rPr>
      <t xml:space="preserve"> = 2019/1535089  × 100 =</t>
    </r>
    <r>
      <rPr>
        <b/>
        <sz val="12"/>
        <rFont val="Times New Roman"/>
        <family val="1"/>
        <charset val="186"/>
      </rPr>
      <t xml:space="preserve"> 0,13 proc. </t>
    </r>
  </si>
  <si>
    <t>2020 m. – 18 295,1 mln. Eur;</t>
  </si>
  <si>
    <t>2021 m. – 19 242,6 mln. Eur.</t>
  </si>
  <si>
    <t>2022 m. – 20 294,0 mln. Eur.</t>
  </si>
  <si>
    <t>2023 m. – 21 417,5 mln. Eur.</t>
  </si>
  <si>
    <r>
      <t>DUF</t>
    </r>
    <r>
      <rPr>
        <vertAlign val="subscript"/>
        <sz val="12"/>
        <color theme="1"/>
        <rFont val="Times New Roman"/>
        <family val="1"/>
        <charset val="186"/>
      </rPr>
      <t xml:space="preserve">2020 </t>
    </r>
    <r>
      <rPr>
        <sz val="12"/>
        <color theme="1"/>
        <rFont val="Times New Roman"/>
        <family val="1"/>
        <charset val="186"/>
      </rPr>
      <t>/ DUF</t>
    </r>
    <r>
      <rPr>
        <vertAlign val="subscript"/>
        <sz val="12"/>
        <color theme="1"/>
        <rFont val="Times New Roman"/>
        <family val="1"/>
        <charset val="186"/>
      </rPr>
      <t>2019</t>
    </r>
    <r>
      <rPr>
        <sz val="12"/>
        <color theme="1"/>
        <rFont val="Times New Roman"/>
        <family val="1"/>
        <charset val="186"/>
      </rPr>
      <t>-1 = 0,0626;</t>
    </r>
  </si>
  <si>
    <r>
      <t>DUF</t>
    </r>
    <r>
      <rPr>
        <vertAlign val="subscript"/>
        <sz val="12"/>
        <color theme="1"/>
        <rFont val="Times New Roman"/>
        <family val="1"/>
        <charset val="186"/>
      </rPr>
      <t xml:space="preserve">2021 </t>
    </r>
    <r>
      <rPr>
        <sz val="12"/>
        <color theme="1"/>
        <rFont val="Times New Roman"/>
        <family val="1"/>
        <charset val="186"/>
      </rPr>
      <t>/ DUF</t>
    </r>
    <r>
      <rPr>
        <vertAlign val="subscript"/>
        <sz val="12"/>
        <color theme="1"/>
        <rFont val="Times New Roman"/>
        <family val="1"/>
        <charset val="186"/>
      </rPr>
      <t>2020</t>
    </r>
    <r>
      <rPr>
        <sz val="12"/>
        <color theme="1"/>
        <rFont val="Times New Roman"/>
        <family val="1"/>
        <charset val="186"/>
      </rPr>
      <t>-1 = 0,0518;</t>
    </r>
  </si>
  <si>
    <r>
      <t>DUF</t>
    </r>
    <r>
      <rPr>
        <vertAlign val="subscript"/>
        <sz val="12"/>
        <color theme="1"/>
        <rFont val="Times New Roman"/>
        <family val="1"/>
        <charset val="186"/>
      </rPr>
      <t xml:space="preserve">2022 </t>
    </r>
    <r>
      <rPr>
        <sz val="12"/>
        <color theme="1"/>
        <rFont val="Times New Roman"/>
        <family val="1"/>
        <charset val="186"/>
      </rPr>
      <t>/ DUF</t>
    </r>
    <r>
      <rPr>
        <vertAlign val="subscript"/>
        <sz val="12"/>
        <color theme="1"/>
        <rFont val="Times New Roman"/>
        <family val="1"/>
        <charset val="186"/>
      </rPr>
      <t>2021</t>
    </r>
    <r>
      <rPr>
        <sz val="12"/>
        <color theme="1"/>
        <rFont val="Times New Roman"/>
        <family val="1"/>
        <charset val="186"/>
      </rPr>
      <t>-1 = 0,0546.</t>
    </r>
  </si>
  <si>
    <r>
      <t>DUF</t>
    </r>
    <r>
      <rPr>
        <vertAlign val="subscript"/>
        <sz val="12"/>
        <color theme="1"/>
        <rFont val="Times New Roman"/>
        <family val="1"/>
        <charset val="186"/>
      </rPr>
      <t xml:space="preserve">2023 </t>
    </r>
    <r>
      <rPr>
        <sz val="12"/>
        <color theme="1"/>
        <rFont val="Times New Roman"/>
        <family val="1"/>
        <charset val="186"/>
      </rPr>
      <t>/ DUF</t>
    </r>
    <r>
      <rPr>
        <vertAlign val="subscript"/>
        <sz val="12"/>
        <color theme="1"/>
        <rFont val="Times New Roman"/>
        <family val="1"/>
        <charset val="186"/>
      </rPr>
      <t>2022</t>
    </r>
    <r>
      <rPr>
        <sz val="12"/>
        <color theme="1"/>
        <rFont val="Times New Roman"/>
        <family val="1"/>
        <charset val="186"/>
      </rPr>
      <t>-1 = 0,0554.</t>
    </r>
  </si>
  <si>
    <t>0,0928+ 0,1108+ 0,1087+ 0,0626+ 0,0518+ 0,0546+0,0554</t>
  </si>
  <si>
    <t>= 0,0767</t>
  </si>
  <si>
    <r>
      <t>2021 metų pensijų indeksavimo koeficientas</t>
    </r>
    <r>
      <rPr>
        <b/>
        <sz val="12"/>
        <color theme="1"/>
        <rFont val="Times New Roman"/>
        <family val="1"/>
        <charset val="186"/>
      </rPr>
      <t xml:space="preserve"> IK</t>
    </r>
    <r>
      <rPr>
        <b/>
        <vertAlign val="subscript"/>
        <sz val="12"/>
        <color theme="1"/>
        <rFont val="Times New Roman"/>
        <family val="1"/>
        <charset val="186"/>
      </rPr>
      <t>2021</t>
    </r>
    <r>
      <rPr>
        <sz val="12"/>
        <color theme="1"/>
        <rFont val="Times New Roman"/>
        <family val="1"/>
        <charset val="186"/>
      </rPr>
      <t>=1+λ</t>
    </r>
    <r>
      <rPr>
        <vertAlign val="subscript"/>
        <sz val="12"/>
        <color theme="1"/>
        <rFont val="Times New Roman"/>
        <family val="1"/>
        <charset val="186"/>
      </rPr>
      <t>2021</t>
    </r>
    <r>
      <rPr>
        <sz val="12"/>
        <color theme="1"/>
        <rFont val="Times New Roman"/>
        <family val="1"/>
        <charset val="186"/>
      </rPr>
      <t>=1+0,0767=</t>
    </r>
    <r>
      <rPr>
        <b/>
        <sz val="12"/>
        <color theme="1"/>
        <rFont val="Times New Roman"/>
        <family val="1"/>
        <charset val="186"/>
      </rPr>
      <t>1,0767.</t>
    </r>
  </si>
  <si>
    <t>išlaidos ir rezultatas vykdant pensijų indeksavimą, kai pensijų indeksavimo koeficientas  -1,0958:</t>
  </si>
  <si>
    <t>pensijų draudimo rūšies įplaukos:   3 983 741 tūkst. Eur</t>
  </si>
  <si>
    <t>pensijų draudimo rūšies išlaidos:  3 863 585 tūkst. Eur</t>
  </si>
  <si>
    <r>
      <t>rezultatas (</t>
    </r>
    <r>
      <rPr>
        <i/>
        <sz val="12"/>
        <color theme="1"/>
        <rFont val="Times New Roman"/>
        <family val="1"/>
        <charset val="186"/>
      </rPr>
      <t>pajamos- išlaidos</t>
    </r>
    <r>
      <rPr>
        <sz val="12"/>
        <color theme="1"/>
        <rFont val="Times New Roman"/>
        <family val="1"/>
        <charset val="186"/>
      </rPr>
      <t>): 120 156 tūkst. Eur</t>
    </r>
  </si>
  <si>
    <r>
      <t>3.</t>
    </r>
    <r>
      <rPr>
        <sz val="7"/>
        <color theme="1"/>
        <rFont val="Times New Roman"/>
        <family val="1"/>
        <charset val="186"/>
      </rPr>
      <t>   </t>
    </r>
    <r>
      <rPr>
        <sz val="12"/>
        <color theme="1"/>
        <rFont val="Times New Roman"/>
        <family val="1"/>
        <charset val="186"/>
      </rPr>
      <t xml:space="preserve">Apskaičiuojamos prognozuojamų </t>
    </r>
    <r>
      <rPr>
        <b/>
        <sz val="12"/>
        <color theme="1"/>
        <rFont val="Times New Roman"/>
        <family val="1"/>
        <charset val="186"/>
      </rPr>
      <t>2022 metų</t>
    </r>
    <r>
      <rPr>
        <sz val="12"/>
        <color theme="1"/>
        <rFont val="Times New Roman"/>
        <family val="1"/>
        <charset val="186"/>
      </rPr>
      <t xml:space="preserve"> pensijų socialinio draudimo rūšies įplaukos, išlaidos ir rezultatas, kai pensijų indeksavimo koeficientas  2021 m. -1,0956,o 2022 metais indeksacija nevykdoma:</t>
    </r>
  </si>
  <si>
    <t>pensijų draudimo rūšies įplaukos:  4 057 251   tūkst. Eur</t>
  </si>
  <si>
    <t>pensijų draudimo rūšies išlaidos: 3 853 901  tūkst. Eur</t>
  </si>
  <si>
    <r>
      <t>rezultatas (</t>
    </r>
    <r>
      <rPr>
        <i/>
        <sz val="12"/>
        <color theme="1"/>
        <rFont val="Times New Roman"/>
        <family val="1"/>
        <charset val="186"/>
      </rPr>
      <t>pajamos- išlaidos</t>
    </r>
    <r>
      <rPr>
        <sz val="12"/>
        <color theme="1"/>
        <rFont val="Times New Roman"/>
        <family val="1"/>
        <charset val="186"/>
      </rPr>
      <t>): 203 350 tūkst. Eur</t>
    </r>
  </si>
  <si>
    <r>
      <t xml:space="preserve">Kadangi 2021 - 2022 metų pensijų socialinio draudimo rūšies rezultatas teigiamas, tai  2021 metų apskaičiuotas </t>
    </r>
    <r>
      <rPr>
        <b/>
        <sz val="12"/>
        <color theme="1"/>
        <rFont val="Times New Roman"/>
        <family val="1"/>
        <charset val="186"/>
      </rPr>
      <t xml:space="preserve"> </t>
    </r>
    <r>
      <rPr>
        <sz val="12"/>
        <color theme="1"/>
        <rFont val="Times New Roman"/>
        <family val="1"/>
        <charset val="186"/>
      </rPr>
      <t>pensijų</t>
    </r>
    <r>
      <rPr>
        <b/>
        <sz val="12"/>
        <color theme="1"/>
        <rFont val="Times New Roman"/>
        <family val="1"/>
        <charset val="186"/>
      </rPr>
      <t xml:space="preserve"> </t>
    </r>
    <r>
      <rPr>
        <sz val="12"/>
        <color theme="1"/>
        <rFont val="Times New Roman"/>
        <family val="1"/>
        <charset val="186"/>
      </rPr>
      <t xml:space="preserve">indeksavimo koeficientas  </t>
    </r>
    <r>
      <rPr>
        <b/>
        <sz val="12"/>
        <color theme="1"/>
        <rFont val="Times New Roman"/>
        <family val="1"/>
        <charset val="186"/>
      </rPr>
      <t>1,0958 yra taikomas.</t>
    </r>
  </si>
  <si>
    <r>
      <t>bazinės pensijos indeksavimo koeficientas</t>
    </r>
    <r>
      <rPr>
        <b/>
        <vertAlign val="subscript"/>
        <sz val="12"/>
        <color theme="1"/>
        <rFont val="Times New Roman"/>
        <family val="1"/>
        <charset val="186"/>
      </rPr>
      <t xml:space="preserve"> </t>
    </r>
    <r>
      <rPr>
        <sz val="12"/>
        <color theme="1"/>
        <rFont val="Times New Roman"/>
        <family val="1"/>
        <charset val="186"/>
      </rPr>
      <t>– 1,0958;</t>
    </r>
  </si>
  <si>
    <t>180,95×1,0958 = 198,29.</t>
  </si>
  <si>
    <t>2021 metų socialinio draudimo bazinės pensijos dydis – 198,29 euro.</t>
  </si>
  <si>
    <r>
      <t>pensijų indeksavimo koeficientas</t>
    </r>
    <r>
      <rPr>
        <b/>
        <vertAlign val="subscript"/>
        <sz val="12"/>
        <color theme="1"/>
        <rFont val="Times New Roman"/>
        <family val="1"/>
        <charset val="186"/>
      </rPr>
      <t xml:space="preserve"> </t>
    </r>
    <r>
      <rPr>
        <sz val="12"/>
        <color theme="1"/>
        <rFont val="Times New Roman"/>
        <family val="1"/>
        <charset val="186"/>
      </rPr>
      <t>– 1,0958;</t>
    </r>
  </si>
  <si>
    <t>26,13×1,0958 = 28,63.</t>
  </si>
  <si>
    <t>2021 metų socialinio draudimo našlių pensijos bazinis dydis - 28,63 euro.</t>
  </si>
  <si>
    <t>3,81×1,0958 = 4,17.</t>
  </si>
  <si>
    <t>2021 metų pensijų apskaitos vieneto vertės dydis – 4,17 euro.</t>
  </si>
  <si>
    <r>
      <t xml:space="preserve"> 2021 metų apskaičiuotas pensijų indeksavimo koeficientas </t>
    </r>
    <r>
      <rPr>
        <b/>
        <sz val="12"/>
        <color theme="1"/>
        <rFont val="Times New Roman"/>
        <family val="1"/>
        <charset val="186"/>
      </rPr>
      <t>padidintas 1,91 procentiniu punktu</t>
    </r>
    <r>
      <rPr>
        <sz val="12"/>
        <color theme="1"/>
        <rFont val="Times New Roman"/>
        <family val="1"/>
        <charset val="186"/>
      </rPr>
      <t xml:space="preserve">, tai </t>
    </r>
    <r>
      <rPr>
        <b/>
        <sz val="12"/>
        <color theme="1"/>
        <rFont val="Times New Roman"/>
        <family val="1"/>
        <charset val="186"/>
      </rPr>
      <t>2021 m. pensijų indeksavimo koeficientas bus 1,0958.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</si>
</sst>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00"/>
    <numFmt numFmtId="168" formatCode="0.0000"/>
  </numFmts>
  <fonts count="112">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b/>
      <u/>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sz val="10"/>
      <color indexed="10"/>
      <name val="Times New Roman"/>
      <family val="1"/>
      <charset val="186"/>
    </font>
    <font>
      <b/>
      <sz val="8"/>
      <name val="Times New Roman"/>
      <family val="1"/>
      <charset val="186"/>
    </font>
    <font>
      <b/>
      <u/>
      <sz val="11"/>
      <name val="Times New Roman"/>
      <family val="1"/>
      <charset val="186"/>
    </font>
    <font>
      <sz val="12"/>
      <color theme="1"/>
      <name val="Times New Roman"/>
      <family val="1"/>
      <charset val="186"/>
    </font>
    <font>
      <sz val="10"/>
      <color theme="1"/>
      <name val="Times New Roman"/>
      <family val="1"/>
      <charset val="186"/>
    </font>
    <font>
      <sz val="12"/>
      <name val="Times New Roman"/>
      <family val="1"/>
      <charset val="186"/>
    </font>
    <font>
      <b/>
      <sz val="12"/>
      <color theme="1"/>
      <name val="Times New Roman"/>
      <family val="1"/>
      <charset val="186"/>
    </font>
    <font>
      <b/>
      <sz val="11"/>
      <color theme="1"/>
      <name val="Times New Roman"/>
      <family val="1"/>
      <charset val="186"/>
    </font>
    <font>
      <sz val="10"/>
      <name val="Arial"/>
      <family val="2"/>
      <charset val="186"/>
    </font>
    <font>
      <b/>
      <u/>
      <sz val="14"/>
      <name val="TimesLT"/>
      <family val="1"/>
    </font>
    <font>
      <i/>
      <sz val="10"/>
      <color indexed="10"/>
      <name val="Times New Roman"/>
      <family val="1"/>
      <charset val="186"/>
    </font>
    <font>
      <sz val="10"/>
      <name val="TimesLT"/>
      <family val="1"/>
    </font>
    <font>
      <sz val="11"/>
      <color theme="1"/>
      <name val="Times New Roman"/>
      <family val="1"/>
      <charset val="186"/>
    </font>
    <font>
      <b/>
      <i/>
      <u/>
      <sz val="16"/>
      <name val="Times New Roman"/>
      <family val="1"/>
      <charset val="186"/>
    </font>
    <font>
      <i/>
      <sz val="12"/>
      <name val="Times New Roman"/>
      <family val="1"/>
      <charset val="186"/>
    </font>
    <font>
      <sz val="10"/>
      <name val="Arial"/>
      <family val="2"/>
      <charset val="186"/>
    </font>
    <font>
      <sz val="10"/>
      <name val="Arial"/>
      <family val="2"/>
      <charset val="186"/>
    </font>
    <font>
      <b/>
      <i/>
      <sz val="10"/>
      <color indexed="10"/>
      <name val="Times New Roman"/>
      <family val="1"/>
      <charset val="186"/>
    </font>
    <font>
      <sz val="10"/>
      <color rgb="FF0070C0"/>
      <name val="Times New Roman"/>
      <family val="1"/>
      <charset val="186"/>
    </font>
    <font>
      <sz val="10"/>
      <color theme="3" tint="0.39997558519241921"/>
      <name val="Times New Roman"/>
      <family val="1"/>
      <charset val="186"/>
    </font>
    <font>
      <sz val="10"/>
      <color rgb="FFFF0000"/>
      <name val="Times New Roman"/>
      <family val="1"/>
      <charset val="186"/>
    </font>
    <font>
      <sz val="10"/>
      <name val="Arial"/>
      <family val="2"/>
      <charset val="186"/>
    </font>
    <font>
      <sz val="10"/>
      <name val="Arial"/>
      <family val="2"/>
      <charset val="186"/>
    </font>
    <font>
      <sz val="10"/>
      <name val="Arial"/>
      <family val="2"/>
      <charset val="186"/>
    </font>
    <font>
      <sz val="10"/>
      <color rgb="FF00B0F0"/>
      <name val="Times New Roman"/>
      <family val="1"/>
      <charset val="186"/>
    </font>
    <font>
      <sz val="11"/>
      <color rgb="FFFF0000"/>
      <name val="Times New Roman"/>
      <family val="1"/>
      <charset val="186"/>
    </font>
    <font>
      <sz val="10"/>
      <name val="Arial"/>
      <family val="2"/>
      <charset val="186"/>
    </font>
    <font>
      <i/>
      <sz val="10"/>
      <color theme="1"/>
      <name val="Times New Roman"/>
      <family val="1"/>
      <charset val="186"/>
    </font>
    <font>
      <sz val="11"/>
      <color rgb="FF7030A0"/>
      <name val="Times New Roman"/>
      <family val="1"/>
      <charset val="186"/>
    </font>
    <font>
      <sz val="10"/>
      <color indexed="12"/>
      <name val="Times New Roman"/>
      <family val="1"/>
      <charset val="186"/>
    </font>
    <font>
      <b/>
      <sz val="12"/>
      <color rgb="FFFF0000"/>
      <name val="Times New Roman"/>
      <family val="1"/>
      <charset val="186"/>
    </font>
    <font>
      <i/>
      <sz val="11"/>
      <color theme="1"/>
      <name val="Times New Roman"/>
      <family val="1"/>
      <charset val="186"/>
    </font>
    <font>
      <sz val="10"/>
      <name val="Arial"/>
      <family val="2"/>
      <charset val="186"/>
    </font>
    <font>
      <sz val="10"/>
      <name val="Arial"/>
      <family val="2"/>
      <charset val="186"/>
    </font>
    <font>
      <sz val="10"/>
      <color theme="4"/>
      <name val="Times New Roman"/>
      <family val="1"/>
      <charset val="186"/>
    </font>
    <font>
      <sz val="10"/>
      <color rgb="FF00B050"/>
      <name val="Times New Roman"/>
      <family val="1"/>
      <charset val="186"/>
    </font>
    <font>
      <sz val="7"/>
      <color theme="1"/>
      <name val="Times New Roman"/>
      <family val="1"/>
      <charset val="186"/>
    </font>
    <font>
      <vertAlign val="subscript"/>
      <sz val="12"/>
      <color theme="1"/>
      <name val="Times New Roman"/>
      <family val="1"/>
      <charset val="186"/>
    </font>
    <font>
      <sz val="6"/>
      <color theme="1"/>
      <name val="Times New Roman"/>
      <family val="1"/>
      <charset val="186"/>
    </font>
    <font>
      <sz val="12"/>
      <color theme="1"/>
      <name val="Calibri"/>
      <family val="2"/>
      <charset val="186"/>
    </font>
    <font>
      <b/>
      <sz val="14"/>
      <color theme="1"/>
      <name val="Times New Roman"/>
      <family val="1"/>
      <charset val="186"/>
    </font>
    <font>
      <b/>
      <vertAlign val="subscript"/>
      <sz val="14"/>
      <color theme="1"/>
      <name val="Times New Roman"/>
      <family val="1"/>
      <charset val="186"/>
    </font>
    <font>
      <sz val="14"/>
      <color theme="1"/>
      <name val="Times New Roman"/>
      <family val="1"/>
      <charset val="186"/>
    </font>
    <font>
      <b/>
      <sz val="6"/>
      <color theme="1"/>
      <name val="Times New Roman"/>
      <family val="1"/>
      <charset val="186"/>
    </font>
    <font>
      <b/>
      <vertAlign val="subscript"/>
      <sz val="12"/>
      <color theme="1"/>
      <name val="Times New Roman"/>
      <family val="1"/>
      <charset val="186"/>
    </font>
    <font>
      <u/>
      <sz val="12"/>
      <color theme="1"/>
      <name val="Times New Roman"/>
      <family val="1"/>
      <charset val="186"/>
    </font>
    <font>
      <i/>
      <sz val="12"/>
      <color theme="1"/>
      <name val="Times New Roman"/>
      <family val="1"/>
      <charset val="186"/>
    </font>
    <font>
      <sz val="10"/>
      <name val="Arial"/>
      <family val="2"/>
      <charset val="186"/>
    </font>
    <font>
      <u/>
      <sz val="10"/>
      <name val="Times New Roman"/>
      <family val="1"/>
      <charset val="186"/>
    </font>
    <font>
      <b/>
      <sz val="10"/>
      <color indexed="10"/>
      <name val="Times New Roman"/>
      <family val="1"/>
      <charset val="186"/>
    </font>
    <font>
      <u/>
      <sz val="11"/>
      <name val="Times New Roman"/>
      <family val="1"/>
      <charset val="186"/>
    </font>
    <font>
      <vertAlign val="subscript"/>
      <sz val="10"/>
      <name val="Times New Roman"/>
      <family val="1"/>
      <charset val="186"/>
    </font>
    <font>
      <vertAlign val="subscript"/>
      <sz val="10"/>
      <color theme="1"/>
      <name val="Times New Roman"/>
      <family val="1"/>
      <charset val="186"/>
    </font>
    <font>
      <sz val="10"/>
      <color theme="1"/>
      <name val="Times New (W1)"/>
      <family val="1"/>
    </font>
    <font>
      <vertAlign val="subscript"/>
      <sz val="10"/>
      <name val="Times New (W1)"/>
      <family val="1"/>
    </font>
    <font>
      <sz val="10"/>
      <name val="Times New (W1)"/>
      <family val="1"/>
    </font>
    <font>
      <vertAlign val="subscript"/>
      <sz val="12"/>
      <name val="Times New Roman"/>
      <family val="1"/>
      <charset val="186"/>
    </font>
    <font>
      <sz val="10"/>
      <name val="Arial"/>
      <family val="2"/>
      <charset val="186"/>
    </font>
    <font>
      <sz val="10"/>
      <name val="Arial"/>
      <family val="2"/>
      <charset val="186"/>
    </font>
    <font>
      <sz val="12"/>
      <color rgb="FFFF0000"/>
      <name val="Times New Roman"/>
      <family val="1"/>
      <charset val="186"/>
    </font>
    <font>
      <b/>
      <sz val="16"/>
      <name val="Times New Roman"/>
      <family val="1"/>
      <charset val="186"/>
    </font>
    <font>
      <sz val="10"/>
      <color theme="6"/>
      <name val="Times New Roman"/>
      <family val="1"/>
      <charset val="186"/>
    </font>
    <font>
      <sz val="10"/>
      <name val="Arial"/>
      <family val="2"/>
      <charset val="186"/>
    </font>
    <font>
      <sz val="11"/>
      <color rgb="FF00B050"/>
      <name val="Times New Roman"/>
      <family val="1"/>
      <charset val="186"/>
    </font>
    <font>
      <sz val="11"/>
      <color rgb="FF00B050"/>
      <name val="Calibri"/>
      <family val="2"/>
      <charset val="186"/>
      <scheme val="minor"/>
    </font>
    <font>
      <sz val="12"/>
      <color rgb="FF00B050"/>
      <name val="Times New Roman"/>
      <family val="1"/>
      <charset val="186"/>
    </font>
    <font>
      <b/>
      <sz val="14"/>
      <color rgb="FF00B050"/>
      <name val="Times New Roman"/>
      <family val="1"/>
      <charset val="186"/>
    </font>
    <font>
      <b/>
      <sz val="12"/>
      <color rgb="FF00B050"/>
      <name val="Times New Roman"/>
      <family val="1"/>
      <charset val="186"/>
    </font>
    <font>
      <b/>
      <i/>
      <sz val="9"/>
      <name val="Times New Roman"/>
      <family val="1"/>
      <charset val="186"/>
    </font>
  </fonts>
  <fills count="4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31">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0" fillId="18" borderId="0" applyNumberFormat="0" applyBorder="0" applyAlignment="0" applyProtection="0"/>
    <xf numFmtId="0" fontId="19" fillId="27" borderId="0" applyNumberFormat="0" applyBorder="0" applyAlignment="0" applyProtection="0"/>
    <xf numFmtId="0" fontId="21" fillId="18" borderId="0" applyNumberFormat="0" applyBorder="0" applyAlignment="0" applyProtection="0"/>
    <xf numFmtId="0" fontId="22" fillId="28" borderId="8" applyNumberFormat="0" applyAlignment="0" applyProtection="0"/>
    <xf numFmtId="0" fontId="23" fillId="19" borderId="9" applyNumberFormat="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5" fillId="0" borderId="0" applyNumberFormat="0" applyFill="0" applyBorder="0" applyAlignment="0" applyProtection="0"/>
    <xf numFmtId="0" fontId="26" fillId="32" borderId="0" applyNumberFormat="0" applyBorder="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30" fillId="27" borderId="8" applyNumberFormat="0" applyAlignment="0" applyProtection="0"/>
    <xf numFmtId="0" fontId="1" fillId="0" borderId="0"/>
    <xf numFmtId="0" fontId="31" fillId="0" borderId="13" applyNumberFormat="0" applyFill="0" applyAlignment="0" applyProtection="0"/>
    <xf numFmtId="0" fontId="32" fillId="27" borderId="0" applyNumberFormat="0" applyBorder="0" applyAlignment="0" applyProtection="0"/>
    <xf numFmtId="0" fontId="4" fillId="0" borderId="0"/>
    <xf numFmtId="0" fontId="1" fillId="26" borderId="14" applyNumberFormat="0" applyFont="0" applyAlignment="0" applyProtection="0"/>
    <xf numFmtId="0" fontId="33" fillId="28" borderId="15" applyNumberFormat="0" applyAlignment="0" applyProtection="0"/>
    <xf numFmtId="4" fontId="34" fillId="33" borderId="16" applyNumberFormat="0" applyProtection="0">
      <alignment vertical="center"/>
    </xf>
    <xf numFmtId="4" fontId="35" fillId="33" borderId="16" applyNumberFormat="0" applyProtection="0">
      <alignment vertical="center"/>
    </xf>
    <xf numFmtId="4" fontId="34" fillId="33" borderId="16" applyNumberFormat="0" applyProtection="0">
      <alignment horizontal="left" vertical="center" indent="1"/>
    </xf>
    <xf numFmtId="0" fontId="34" fillId="33" borderId="16" applyNumberFormat="0" applyProtection="0">
      <alignment horizontal="left" vertical="top" indent="1"/>
    </xf>
    <xf numFmtId="4" fontId="34" fillId="2" borderId="0" applyNumberFormat="0" applyProtection="0">
      <alignment horizontal="left" vertical="center" indent="1"/>
    </xf>
    <xf numFmtId="4" fontId="17" fillId="7" borderId="16" applyNumberFormat="0" applyProtection="0">
      <alignment horizontal="right" vertical="center"/>
    </xf>
    <xf numFmtId="4" fontId="17" fillId="3" borderId="16" applyNumberFormat="0" applyProtection="0">
      <alignment horizontal="right" vertical="center"/>
    </xf>
    <xf numFmtId="4" fontId="17" fillId="34" borderId="16" applyNumberFormat="0" applyProtection="0">
      <alignment horizontal="right" vertical="center"/>
    </xf>
    <xf numFmtId="4" fontId="17" fillId="35" borderId="16" applyNumberFormat="0" applyProtection="0">
      <alignment horizontal="right" vertical="center"/>
    </xf>
    <xf numFmtId="4" fontId="17" fillId="36" borderId="16" applyNumberFormat="0" applyProtection="0">
      <alignment horizontal="right" vertical="center"/>
    </xf>
    <xf numFmtId="4" fontId="17" fillId="37" borderId="16" applyNumberFormat="0" applyProtection="0">
      <alignment horizontal="right" vertical="center"/>
    </xf>
    <xf numFmtId="4" fontId="17" fillId="9" borderId="16" applyNumberFormat="0" applyProtection="0">
      <alignment horizontal="right" vertical="center"/>
    </xf>
    <xf numFmtId="4" fontId="17" fillId="38" borderId="16" applyNumberFormat="0" applyProtection="0">
      <alignment horizontal="right" vertical="center"/>
    </xf>
    <xf numFmtId="4" fontId="17" fillId="39" borderId="16" applyNumberFormat="0" applyProtection="0">
      <alignment horizontal="right" vertical="center"/>
    </xf>
    <xf numFmtId="4" fontId="34" fillId="40" borderId="17"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16" applyNumberFormat="0" applyProtection="0">
      <alignment horizontal="right" vertical="center"/>
    </xf>
    <xf numFmtId="4" fontId="37" fillId="41" borderId="0" applyNumberFormat="0" applyProtection="0">
      <alignment horizontal="left" vertical="center" indent="1"/>
    </xf>
    <xf numFmtId="4" fontId="37"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7" fillId="4" borderId="16" applyNumberFormat="0" applyProtection="0">
      <alignment vertical="center"/>
    </xf>
    <xf numFmtId="4" fontId="38" fillId="4" borderId="16" applyNumberFormat="0" applyProtection="0">
      <alignment vertical="center"/>
    </xf>
    <xf numFmtId="4" fontId="17" fillId="4" borderId="16" applyNumberFormat="0" applyProtection="0">
      <alignment horizontal="left" vertical="center" indent="1"/>
    </xf>
    <xf numFmtId="0" fontId="17" fillId="4" borderId="16" applyNumberFormat="0" applyProtection="0">
      <alignment horizontal="left" vertical="top" indent="1"/>
    </xf>
    <xf numFmtId="4" fontId="17" fillId="41" borderId="16" applyNumberFormat="0" applyProtection="0">
      <alignment horizontal="right" vertical="center"/>
    </xf>
    <xf numFmtId="4" fontId="38" fillId="41" borderId="16" applyNumberFormat="0" applyProtection="0">
      <alignment horizontal="right" vertical="center"/>
    </xf>
    <xf numFmtId="4" fontId="17" fillId="2" borderId="16" applyNumberFormat="0" applyProtection="0">
      <alignment horizontal="left" vertical="center" indent="1"/>
    </xf>
    <xf numFmtId="0" fontId="17" fillId="2" borderId="16" applyNumberFormat="0" applyProtection="0">
      <alignment horizontal="left" vertical="top" indent="1"/>
    </xf>
    <xf numFmtId="4" fontId="39" fillId="42" borderId="0" applyNumberFormat="0" applyProtection="0">
      <alignment horizontal="left" vertical="center" indent="1"/>
    </xf>
    <xf numFmtId="4" fontId="40" fillId="41" borderId="16" applyNumberFormat="0" applyProtection="0">
      <alignment horizontal="right" vertical="center"/>
    </xf>
    <xf numFmtId="0" fontId="41" fillId="0" borderId="0" applyNumberFormat="0" applyFill="0" applyBorder="0" applyAlignment="0" applyProtection="0"/>
    <xf numFmtId="0" fontId="41" fillId="0" borderId="0" applyNumberFormat="0" applyFill="0" applyBorder="0" applyAlignment="0" applyProtection="0"/>
    <xf numFmtId="0" fontId="24" fillId="0" borderId="19" applyNumberFormat="0" applyFill="0" applyAlignment="0" applyProtection="0"/>
    <xf numFmtId="0" fontId="42" fillId="0" borderId="0" applyNumberFormat="0" applyFill="0" applyBorder="0" applyAlignment="0" applyProtection="0"/>
    <xf numFmtId="0" fontId="1" fillId="0" borderId="0"/>
    <xf numFmtId="0" fontId="1" fillId="0" borderId="0"/>
    <xf numFmtId="0" fontId="51" fillId="0" borderId="0"/>
    <xf numFmtId="0" fontId="54" fillId="0" borderId="0"/>
    <xf numFmtId="0" fontId="4" fillId="0" borderId="0"/>
    <xf numFmtId="0" fontId="1" fillId="0" borderId="0"/>
    <xf numFmtId="0" fontId="4" fillId="0" borderId="0" applyFont="0"/>
    <xf numFmtId="0" fontId="58" fillId="0" borderId="0"/>
    <xf numFmtId="0" fontId="59" fillId="0" borderId="0"/>
    <xf numFmtId="0" fontId="8" fillId="0" borderId="0"/>
    <xf numFmtId="0" fontId="64" fillId="0" borderId="0"/>
    <xf numFmtId="0" fontId="65" fillId="0" borderId="0"/>
    <xf numFmtId="0" fontId="66" fillId="0" borderId="0"/>
    <xf numFmtId="0" fontId="69" fillId="0" borderId="0"/>
    <xf numFmtId="0" fontId="75" fillId="0" borderId="0"/>
    <xf numFmtId="0" fontId="76" fillId="0" borderId="0"/>
    <xf numFmtId="0" fontId="90" fillId="0" borderId="0"/>
    <xf numFmtId="0" fontId="100" fillId="0" borderId="0"/>
    <xf numFmtId="0" fontId="101" fillId="0" borderId="0"/>
    <xf numFmtId="0" fontId="105" fillId="0" borderId="0"/>
  </cellStyleXfs>
  <cellXfs count="510">
    <xf numFmtId="0" fontId="0" fillId="0" borderId="0" xfId="0"/>
    <xf numFmtId="0" fontId="2" fillId="0" borderId="0" xfId="1" applyFont="1" applyFill="1"/>
    <xf numFmtId="4" fontId="5" fillId="0" borderId="0" xfId="2" applyNumberFormat="1" applyFont="1" applyFill="1"/>
    <xf numFmtId="4" fontId="2" fillId="0" borderId="0" xfId="2" applyNumberFormat="1" applyFont="1" applyFill="1"/>
    <xf numFmtId="4" fontId="2" fillId="0" borderId="0" xfId="2" applyNumberFormat="1" applyFont="1" applyFill="1" applyBorder="1"/>
    <xf numFmtId="4" fontId="9" fillId="0" borderId="0" xfId="3" applyNumberFormat="1" applyFont="1" applyFill="1" applyBorder="1" applyAlignment="1">
      <alignment horizontal="center" vertical="center" wrapText="1"/>
    </xf>
    <xf numFmtId="4" fontId="6" fillId="0" borderId="0" xfId="1" applyNumberFormat="1" applyFont="1" applyFill="1" applyBorder="1" applyAlignment="1">
      <alignment vertical="top"/>
    </xf>
    <xf numFmtId="4" fontId="5" fillId="0" borderId="0" xfId="1" applyNumberFormat="1" applyFont="1" applyFill="1" applyBorder="1" applyAlignment="1">
      <alignment horizontal="center" vertical="top"/>
    </xf>
    <xf numFmtId="4" fontId="13" fillId="0" borderId="0" xfId="1" applyNumberFormat="1" applyFont="1" applyFill="1" applyBorder="1" applyAlignment="1">
      <alignment vertical="top"/>
    </xf>
    <xf numFmtId="4" fontId="13" fillId="0" borderId="0" xfId="1" applyNumberFormat="1" applyFont="1" applyFill="1" applyBorder="1" applyAlignment="1">
      <alignment horizontal="center" vertical="top"/>
    </xf>
    <xf numFmtId="4" fontId="14" fillId="0" borderId="0" xfId="2" applyNumberFormat="1" applyFont="1" applyFill="1"/>
    <xf numFmtId="4" fontId="5" fillId="0" borderId="0" xfId="1" applyNumberFormat="1" applyFont="1" applyFill="1" applyBorder="1" applyAlignment="1">
      <alignment vertical="top"/>
    </xf>
    <xf numFmtId="4" fontId="2" fillId="0" borderId="0" xfId="1" applyNumberFormat="1" applyFont="1" applyFill="1" applyBorder="1" applyAlignment="1">
      <alignment vertical="top"/>
    </xf>
    <xf numFmtId="4" fontId="2" fillId="0" borderId="0" xfId="1" applyNumberFormat="1" applyFont="1" applyFill="1" applyBorder="1" applyAlignment="1">
      <alignment horizontal="center" vertical="top"/>
    </xf>
    <xf numFmtId="4" fontId="5" fillId="0" borderId="0" xfId="1" applyNumberFormat="1" applyFont="1" applyFill="1" applyBorder="1"/>
    <xf numFmtId="3" fontId="5" fillId="0" borderId="0" xfId="1" applyNumberFormat="1" applyFont="1" applyFill="1" applyBorder="1" applyAlignment="1">
      <alignment horizontal="right" vertical="center"/>
    </xf>
    <xf numFmtId="0" fontId="5" fillId="0" borderId="0" xfId="4" applyFont="1" applyFill="1" applyBorder="1" applyAlignment="1">
      <alignment vertical="top" wrapText="1"/>
    </xf>
    <xf numFmtId="0" fontId="15" fillId="0" borderId="0" xfId="4" applyFont="1" applyFill="1" applyBorder="1"/>
    <xf numFmtId="4" fontId="3" fillId="0" borderId="0" xfId="1" applyNumberFormat="1" applyFont="1" applyFill="1" applyBorder="1" applyAlignment="1">
      <alignment horizontal="center" vertical="top"/>
    </xf>
    <xf numFmtId="0" fontId="5" fillId="0" borderId="0" xfId="4" applyFont="1" applyFill="1" applyBorder="1" applyAlignment="1">
      <alignment horizontal="left" vertical="top" wrapText="1"/>
    </xf>
    <xf numFmtId="0" fontId="5" fillId="0" borderId="0" xfId="4" applyFont="1" applyFill="1" applyBorder="1" applyAlignment="1">
      <alignment vertical="top"/>
    </xf>
    <xf numFmtId="0" fontId="15" fillId="0" borderId="0" xfId="4" applyFont="1" applyFill="1" applyBorder="1" applyAlignment="1">
      <alignment vertical="top"/>
    </xf>
    <xf numFmtId="4" fontId="7" fillId="0" borderId="0" xfId="1" applyNumberFormat="1" applyFont="1" applyFill="1" applyBorder="1" applyAlignment="1">
      <alignment horizontal="center" vertical="top"/>
    </xf>
    <xf numFmtId="4" fontId="5" fillId="0" borderId="0" xfId="1" applyNumberFormat="1" applyFont="1" applyFill="1" applyBorder="1" applyAlignment="1">
      <alignment vertical="top" wrapText="1"/>
    </xf>
    <xf numFmtId="4" fontId="15" fillId="0" borderId="0" xfId="1" applyNumberFormat="1" applyFont="1" applyFill="1" applyBorder="1" applyAlignment="1">
      <alignment vertical="top" wrapText="1"/>
    </xf>
    <xf numFmtId="0" fontId="2" fillId="0" borderId="0" xfId="4" applyFont="1" applyFill="1" applyBorder="1" applyAlignment="1">
      <alignment horizontal="center"/>
    </xf>
    <xf numFmtId="4" fontId="2" fillId="0" borderId="0" xfId="2" applyNumberFormat="1" applyFont="1" applyFill="1" applyAlignment="1">
      <alignment horizontal="right" vertical="center"/>
    </xf>
    <xf numFmtId="4" fontId="10" fillId="0" borderId="7" xfId="6" applyNumberFormat="1" applyFont="1" applyFill="1" applyBorder="1" applyAlignment="1">
      <alignment vertical="center"/>
    </xf>
    <xf numFmtId="4" fontId="10" fillId="0" borderId="7" xfId="6" applyNumberFormat="1" applyFont="1" applyFill="1" applyBorder="1" applyAlignment="1">
      <alignment horizontal="center" vertical="center"/>
    </xf>
    <xf numFmtId="0" fontId="2" fillId="0" borderId="0" xfId="4" applyFont="1" applyFill="1"/>
    <xf numFmtId="4" fontId="2" fillId="0" borderId="0" xfId="2" applyNumberFormat="1" applyFont="1" applyFill="1" applyAlignment="1">
      <alignment horizontal="right"/>
    </xf>
    <xf numFmtId="4" fontId="7" fillId="0" borderId="0" xfId="2" applyNumberFormat="1" applyFont="1" applyFill="1"/>
    <xf numFmtId="164" fontId="2" fillId="0" borderId="0" xfId="2" applyNumberFormat="1" applyFont="1" applyFill="1"/>
    <xf numFmtId="3" fontId="2" fillId="0" borderId="0" xfId="2" applyNumberFormat="1" applyFont="1" applyFill="1"/>
    <xf numFmtId="3" fontId="3" fillId="0" borderId="0" xfId="2" applyNumberFormat="1" applyFont="1" applyFill="1" applyProtection="1">
      <protection hidden="1"/>
    </xf>
    <xf numFmtId="4" fontId="3" fillId="0" borderId="0" xfId="2" applyNumberFormat="1" applyFont="1" applyFill="1"/>
    <xf numFmtId="3" fontId="5" fillId="0" borderId="0" xfId="2" applyNumberFormat="1" applyFont="1" applyFill="1"/>
    <xf numFmtId="164" fontId="10" fillId="0" borderId="0" xfId="1" applyNumberFormat="1" applyFont="1" applyFill="1" applyBorder="1" applyAlignment="1">
      <alignment horizontal="right" vertical="center"/>
    </xf>
    <xf numFmtId="4" fontId="16" fillId="0" borderId="0" xfId="2" applyNumberFormat="1" applyFont="1" applyFill="1"/>
    <xf numFmtId="0" fontId="5" fillId="0" borderId="0" xfId="1" applyFont="1" applyFill="1"/>
    <xf numFmtId="1" fontId="16" fillId="0" borderId="0" xfId="1" applyNumberFormat="1" applyFont="1" applyFill="1"/>
    <xf numFmtId="1" fontId="2" fillId="0" borderId="0" xfId="1" applyNumberFormat="1" applyFont="1" applyFill="1"/>
    <xf numFmtId="0" fontId="16" fillId="0" borderId="0" xfId="1" applyFont="1" applyFill="1"/>
    <xf numFmtId="0" fontId="44" fillId="0" borderId="0" xfId="1" applyFont="1" applyFill="1"/>
    <xf numFmtId="4" fontId="10" fillId="0" borderId="0" xfId="5" applyNumberFormat="1" applyFont="1" applyFill="1" applyBorder="1"/>
    <xf numFmtId="0" fontId="2" fillId="0" borderId="0" xfId="62" applyFont="1"/>
    <xf numFmtId="0" fontId="2" fillId="0" borderId="0" xfId="62" applyFont="1" applyAlignment="1">
      <alignment horizontal="right"/>
    </xf>
    <xf numFmtId="0" fontId="46" fillId="0" borderId="0" xfId="0" applyFont="1"/>
    <xf numFmtId="0" fontId="2" fillId="0" borderId="0" xfId="62" applyFont="1" applyAlignment="1"/>
    <xf numFmtId="0" fontId="2" fillId="0" borderId="0" xfId="62" applyFont="1" applyAlignment="1">
      <alignment horizontal="justify"/>
    </xf>
    <xf numFmtId="0" fontId="2" fillId="0" borderId="0" xfId="62" applyFont="1" applyAlignment="1">
      <alignment horizontal="center"/>
    </xf>
    <xf numFmtId="49" fontId="2" fillId="0" borderId="0" xfId="62" applyNumberFormat="1" applyFont="1" applyAlignment="1"/>
    <xf numFmtId="0" fontId="48" fillId="0" borderId="0" xfId="62" applyFont="1"/>
    <xf numFmtId="0" fontId="6" fillId="0" borderId="0" xfId="62" applyFont="1"/>
    <xf numFmtId="0" fontId="2" fillId="0" borderId="0" xfId="115" applyFont="1"/>
    <xf numFmtId="0" fontId="2" fillId="0" borderId="0" xfId="115" applyFont="1" applyAlignment="1">
      <alignment wrapText="1"/>
    </xf>
    <xf numFmtId="0" fontId="2" fillId="0" borderId="0" xfId="115" applyNumberFormat="1" applyFont="1" applyAlignment="1">
      <alignment horizontal="left" vertical="justify" wrapText="1"/>
    </xf>
    <xf numFmtId="0" fontId="2" fillId="0" borderId="0" xfId="115" applyFont="1" applyBorder="1"/>
    <xf numFmtId="0" fontId="2" fillId="0" borderId="0" xfId="116" applyFont="1"/>
    <xf numFmtId="0" fontId="2" fillId="0" borderId="0" xfId="117" applyFont="1"/>
    <xf numFmtId="0" fontId="2" fillId="0" borderId="0" xfId="117" applyFont="1" applyAlignment="1">
      <alignment vertical="center"/>
    </xf>
    <xf numFmtId="0" fontId="2" fillId="0" borderId="0" xfId="117" applyFont="1" applyFill="1"/>
    <xf numFmtId="4" fontId="16" fillId="0" borderId="0" xfId="2" applyNumberFormat="1" applyFont="1" applyFill="1" applyAlignment="1">
      <alignment horizontal="center" vertical="top"/>
    </xf>
    <xf numFmtId="0" fontId="16" fillId="0" borderId="0" xfId="4" applyFont="1" applyFill="1" applyAlignment="1">
      <alignment horizontal="center" vertical="top"/>
    </xf>
    <xf numFmtId="3" fontId="2" fillId="0" borderId="0" xfId="1" applyNumberFormat="1" applyFont="1" applyFill="1"/>
    <xf numFmtId="4" fontId="10" fillId="0" borderId="0" xfId="5" applyNumberFormat="1" applyFont="1" applyFill="1" applyBorder="1" applyAlignment="1">
      <alignment vertical="top" wrapText="1"/>
    </xf>
    <xf numFmtId="0" fontId="47" fillId="0" borderId="0" xfId="117" applyFont="1"/>
    <xf numFmtId="0" fontId="61" fillId="0" borderId="0" xfId="117" applyFont="1"/>
    <xf numFmtId="0" fontId="62" fillId="0" borderId="0" xfId="117" applyFont="1"/>
    <xf numFmtId="3" fontId="55" fillId="0" borderId="0" xfId="117" applyNumberFormat="1" applyFont="1" applyFill="1" applyBorder="1" applyAlignment="1">
      <alignment horizontal="right"/>
    </xf>
    <xf numFmtId="0" fontId="61" fillId="0" borderId="0" xfId="117" applyFont="1" applyFill="1"/>
    <xf numFmtId="0" fontId="47" fillId="0" borderId="0" xfId="117" applyFont="1" applyFill="1"/>
    <xf numFmtId="0" fontId="56" fillId="0" borderId="0" xfId="117" applyFont="1" applyFill="1"/>
    <xf numFmtId="0" fontId="57" fillId="0" borderId="2" xfId="117" applyFont="1" applyFill="1" applyBorder="1"/>
    <xf numFmtId="0" fontId="9" fillId="0" borderId="21" xfId="117" applyFont="1" applyFill="1" applyBorder="1" applyAlignment="1">
      <alignment horizontal="center" vertical="center"/>
    </xf>
    <xf numFmtId="0" fontId="48" fillId="0" borderId="6" xfId="117" applyFont="1" applyFill="1" applyBorder="1" applyAlignment="1">
      <alignment vertical="center"/>
    </xf>
    <xf numFmtId="0" fontId="9" fillId="0" borderId="22" xfId="117" applyFont="1" applyFill="1" applyBorder="1" applyAlignment="1">
      <alignment horizontal="center" vertical="center"/>
    </xf>
    <xf numFmtId="0" fontId="9" fillId="0" borderId="0" xfId="117" applyFont="1" applyFill="1" applyAlignment="1">
      <alignment vertical="center" wrapText="1"/>
    </xf>
    <xf numFmtId="3" fontId="9" fillId="0" borderId="0" xfId="117" applyNumberFormat="1" applyFont="1" applyFill="1" applyAlignment="1">
      <alignment vertical="center"/>
    </xf>
    <xf numFmtId="0" fontId="2" fillId="0" borderId="0" xfId="62" applyFont="1" applyFill="1" applyAlignment="1">
      <alignment horizontal="left" vertical="top" wrapText="1"/>
    </xf>
    <xf numFmtId="3" fontId="2" fillId="0" borderId="2" xfId="62" applyNumberFormat="1" applyFont="1" applyBorder="1"/>
    <xf numFmtId="3" fontId="2" fillId="0" borderId="6" xfId="62" applyNumberFormat="1" applyFont="1" applyBorder="1"/>
    <xf numFmtId="3" fontId="45" fillId="0" borderId="0" xfId="62" applyNumberFormat="1" applyFont="1" applyAlignment="1">
      <alignment horizontal="left" vertical="top"/>
    </xf>
    <xf numFmtId="3" fontId="2" fillId="0" borderId="0" xfId="62" applyNumberFormat="1" applyFont="1" applyAlignment="1">
      <alignment horizontal="left" vertical="top"/>
    </xf>
    <xf numFmtId="3" fontId="2" fillId="0" borderId="0" xfId="62" applyNumberFormat="1" applyFont="1" applyAlignment="1">
      <alignment vertical="top"/>
    </xf>
    <xf numFmtId="3" fontId="2" fillId="0" borderId="0" xfId="62" applyNumberFormat="1" applyFont="1" applyAlignment="1">
      <alignment vertical="top" wrapText="1"/>
    </xf>
    <xf numFmtId="3" fontId="2" fillId="0" borderId="0" xfId="62" applyNumberFormat="1" applyFont="1" applyFill="1" applyAlignment="1">
      <alignment horizontal="left" vertical="top" wrapText="1"/>
    </xf>
    <xf numFmtId="0" fontId="2" fillId="0" borderId="0" xfId="62" applyFont="1" applyFill="1" applyAlignment="1">
      <alignment vertical="top" wrapText="1"/>
    </xf>
    <xf numFmtId="0" fontId="2" fillId="0" borderId="0" xfId="62" applyFont="1" applyAlignment="1">
      <alignment horizontal="left" vertical="center"/>
    </xf>
    <xf numFmtId="0" fontId="2" fillId="0" borderId="0" xfId="62" applyFont="1" applyAlignment="1">
      <alignment horizontal="left" vertical="top" wrapText="1"/>
    </xf>
    <xf numFmtId="3" fontId="15" fillId="0" borderId="0" xfId="62" applyNumberFormat="1" applyFont="1" applyAlignment="1">
      <alignment horizontal="left" vertical="top" wrapText="1"/>
    </xf>
    <xf numFmtId="0" fontId="2" fillId="0" borderId="0" xfId="62" applyFont="1" applyFill="1" applyAlignment="1">
      <alignment horizontal="left" vertical="center" wrapText="1"/>
    </xf>
    <xf numFmtId="0" fontId="2" fillId="0" borderId="0" xfId="62" applyFont="1" applyFill="1" applyAlignment="1">
      <alignment horizontal="left" vertical="top"/>
    </xf>
    <xf numFmtId="3" fontId="2" fillId="0" borderId="0" xfId="62" applyNumberFormat="1" applyFont="1" applyAlignment="1">
      <alignment horizontal="left" vertical="top" wrapText="1"/>
    </xf>
    <xf numFmtId="3" fontId="45" fillId="0" borderId="0" xfId="62" applyNumberFormat="1" applyFont="1" applyAlignment="1">
      <alignment horizontal="left" vertical="top" wrapText="1"/>
    </xf>
    <xf numFmtId="3" fontId="2" fillId="0" borderId="0" xfId="62" applyNumberFormat="1" applyFont="1" applyFill="1" applyAlignment="1">
      <alignment horizontal="left" vertical="center" wrapText="1"/>
    </xf>
    <xf numFmtId="0" fontId="2" fillId="0" borderId="0" xfId="62" applyFont="1" applyAlignment="1">
      <alignment horizontal="left" vertical="top"/>
    </xf>
    <xf numFmtId="0" fontId="2" fillId="0" borderId="0" xfId="62" applyFont="1" applyAlignment="1">
      <alignment vertical="top" wrapText="1"/>
    </xf>
    <xf numFmtId="0" fontId="6" fillId="0" borderId="0" xfId="62" applyFont="1" applyAlignment="1">
      <alignment horizontal="center"/>
    </xf>
    <xf numFmtId="4" fontId="7" fillId="0" borderId="0" xfId="2" applyNumberFormat="1" applyFont="1" applyFill="1" applyBorder="1" applyAlignment="1">
      <alignment horizontal="center" vertical="center" wrapText="1"/>
    </xf>
    <xf numFmtId="4" fontId="10" fillId="0" borderId="0" xfId="3" applyNumberFormat="1" applyFont="1" applyFill="1" applyBorder="1" applyAlignment="1">
      <alignment horizontal="center" vertical="center" wrapText="1"/>
    </xf>
    <xf numFmtId="0" fontId="48" fillId="0" borderId="0" xfId="0" applyFont="1"/>
    <xf numFmtId="3" fontId="45" fillId="0" borderId="0" xfId="62" applyNumberFormat="1" applyFont="1" applyAlignment="1">
      <alignment horizontal="left" vertical="center" wrapText="1"/>
    </xf>
    <xf numFmtId="3" fontId="10" fillId="0" borderId="7" xfId="62" applyNumberFormat="1" applyFont="1" applyBorder="1" applyAlignment="1">
      <alignment horizontal="left" vertical="center"/>
    </xf>
    <xf numFmtId="3" fontId="47" fillId="0" borderId="0" xfId="117" applyNumberFormat="1" applyFont="1" applyFill="1" applyBorder="1" applyAlignment="1">
      <alignment horizontal="right" vertical="center"/>
    </xf>
    <xf numFmtId="0" fontId="47" fillId="0" borderId="0" xfId="117" applyFont="1" applyFill="1" applyAlignment="1">
      <alignment horizontal="right" vertical="center"/>
    </xf>
    <xf numFmtId="3" fontId="9" fillId="0" borderId="0" xfId="117" applyNumberFormat="1" applyFont="1" applyFill="1" applyAlignment="1">
      <alignment horizontal="right"/>
    </xf>
    <xf numFmtId="0" fontId="10" fillId="0" borderId="21" xfId="117" applyFont="1" applyFill="1" applyBorder="1" applyAlignment="1">
      <alignment horizontal="center" vertical="center"/>
    </xf>
    <xf numFmtId="0" fontId="10" fillId="0" borderId="22" xfId="117" applyFont="1" applyFill="1" applyBorder="1" applyAlignment="1">
      <alignment horizontal="center" vertical="center"/>
    </xf>
    <xf numFmtId="4" fontId="5" fillId="0" borderId="20" xfId="2" applyNumberFormat="1" applyFont="1" applyFill="1" applyBorder="1"/>
    <xf numFmtId="4" fontId="2" fillId="0" borderId="20" xfId="2" applyNumberFormat="1" applyFont="1" applyFill="1" applyBorder="1"/>
    <xf numFmtId="4" fontId="2" fillId="0" borderId="0" xfId="2" applyNumberFormat="1" applyFont="1" applyFill="1" applyBorder="1" applyAlignment="1">
      <alignment horizontal="center" vertical="center"/>
    </xf>
    <xf numFmtId="4" fontId="12" fillId="0" borderId="0" xfId="2" applyNumberFormat="1" applyFont="1" applyFill="1" applyBorder="1"/>
    <xf numFmtId="4" fontId="13" fillId="0" borderId="0" xfId="2" applyNumberFormat="1" applyFont="1" applyFill="1" applyBorder="1" applyAlignment="1">
      <alignment horizontal="center" vertical="center"/>
    </xf>
    <xf numFmtId="4" fontId="2" fillId="0" borderId="0" xfId="2" applyNumberFormat="1" applyFont="1" applyFill="1" applyAlignment="1">
      <alignment wrapText="1"/>
    </xf>
    <xf numFmtId="4" fontId="2" fillId="0" borderId="0" xfId="2" applyNumberFormat="1" applyFont="1" applyFill="1" applyAlignment="1"/>
    <xf numFmtId="4" fontId="2" fillId="0" borderId="0" xfId="2" applyNumberFormat="1" applyFont="1" applyFill="1" applyAlignment="1">
      <alignment vertical="center"/>
    </xf>
    <xf numFmtId="4" fontId="6" fillId="0" borderId="0" xfId="2" applyNumberFormat="1" applyFont="1" applyFill="1"/>
    <xf numFmtId="2" fontId="7" fillId="0" borderId="0" xfId="2" applyNumberFormat="1" applyFont="1" applyFill="1" applyBorder="1" applyProtection="1">
      <protection hidden="1"/>
    </xf>
    <xf numFmtId="2" fontId="3" fillId="0" borderId="0" xfId="2" applyNumberFormat="1" applyFont="1" applyFill="1" applyBorder="1" applyProtection="1">
      <protection hidden="1"/>
    </xf>
    <xf numFmtId="4" fontId="14" fillId="0" borderId="0" xfId="2" applyNumberFormat="1" applyFont="1" applyFill="1" applyAlignment="1">
      <alignment vertical="top"/>
    </xf>
    <xf numFmtId="4" fontId="11" fillId="0" borderId="0" xfId="2" applyNumberFormat="1" applyFont="1" applyFill="1"/>
    <xf numFmtId="4" fontId="5" fillId="0" borderId="0" xfId="2" applyNumberFormat="1" applyFont="1" applyFill="1" applyAlignment="1"/>
    <xf numFmtId="2" fontId="7" fillId="0" borderId="0" xfId="2" applyNumberFormat="1" applyFont="1" applyFill="1" applyProtection="1">
      <protection hidden="1"/>
    </xf>
    <xf numFmtId="2" fontId="3" fillId="0" borderId="0" xfId="2" applyNumberFormat="1" applyFont="1" applyFill="1" applyProtection="1">
      <protection hidden="1"/>
    </xf>
    <xf numFmtId="4" fontId="13" fillId="0" borderId="0" xfId="2" applyNumberFormat="1" applyFont="1" applyFill="1" applyAlignment="1"/>
    <xf numFmtId="4" fontId="11" fillId="0" borderId="0" xfId="2" applyNumberFormat="1" applyFont="1" applyFill="1" applyAlignment="1">
      <alignment horizontal="right"/>
    </xf>
    <xf numFmtId="4" fontId="5" fillId="0" borderId="0" xfId="2" applyNumberFormat="1" applyFont="1" applyFill="1" applyAlignment="1">
      <alignment wrapText="1"/>
    </xf>
    <xf numFmtId="4" fontId="7" fillId="0" borderId="0" xfId="2" applyNumberFormat="1" applyFont="1" applyFill="1" applyProtection="1">
      <protection hidden="1"/>
    </xf>
    <xf numFmtId="4" fontId="16" fillId="0" borderId="0" xfId="2" applyNumberFormat="1" applyFont="1" applyFill="1" applyBorder="1" applyAlignment="1">
      <alignment horizontal="center" vertical="center" wrapText="1"/>
    </xf>
    <xf numFmtId="4" fontId="13" fillId="0" borderId="0" xfId="2" applyNumberFormat="1" applyFont="1" applyFill="1"/>
    <xf numFmtId="0" fontId="2" fillId="0" borderId="0" xfId="4" applyFont="1" applyFill="1" applyAlignment="1">
      <alignment vertical="center"/>
    </xf>
    <xf numFmtId="0" fontId="16" fillId="0" borderId="0" xfId="4" applyFont="1" applyFill="1" applyAlignment="1">
      <alignment horizontal="center" vertical="center"/>
    </xf>
    <xf numFmtId="4" fontId="16" fillId="0" borderId="0" xfId="2" applyNumberFormat="1" applyFont="1" applyFill="1" applyAlignment="1">
      <alignment horizontal="center" vertical="center"/>
    </xf>
    <xf numFmtId="3" fontId="55" fillId="0" borderId="0" xfId="117" applyNumberFormat="1" applyFont="1" applyFill="1" applyAlignment="1">
      <alignment vertical="center"/>
    </xf>
    <xf numFmtId="0" fontId="63" fillId="0" borderId="0" xfId="62" applyFont="1" applyAlignment="1">
      <alignment horizontal="left" wrapText="1"/>
    </xf>
    <xf numFmtId="0" fontId="7" fillId="0" borderId="0" xfId="1" applyFont="1" applyFill="1"/>
    <xf numFmtId="0" fontId="9" fillId="0" borderId="0" xfId="117" applyFont="1" applyFill="1" applyAlignment="1">
      <alignment vertical="center"/>
    </xf>
    <xf numFmtId="3" fontId="50" fillId="0" borderId="0" xfId="117" applyNumberFormat="1" applyFont="1" applyFill="1" applyAlignment="1">
      <alignment vertical="center"/>
    </xf>
    <xf numFmtId="3" fontId="10" fillId="0" borderId="0" xfId="117" applyNumberFormat="1" applyFont="1" applyFill="1" applyAlignment="1">
      <alignment vertical="center"/>
    </xf>
    <xf numFmtId="3" fontId="2" fillId="0" borderId="0" xfId="117" applyNumberFormat="1" applyFont="1" applyAlignment="1">
      <alignment vertical="center"/>
    </xf>
    <xf numFmtId="0" fontId="6" fillId="0" borderId="0" xfId="117" applyFont="1" applyFill="1" applyAlignment="1">
      <alignment vertical="center"/>
    </xf>
    <xf numFmtId="3" fontId="47" fillId="0" borderId="0" xfId="117" applyNumberFormat="1" applyFont="1" applyFill="1" applyAlignment="1">
      <alignment vertical="center"/>
    </xf>
    <xf numFmtId="3" fontId="46" fillId="0" borderId="0" xfId="117" applyNumberFormat="1" applyFont="1" applyFill="1" applyAlignment="1">
      <alignment vertical="center"/>
    </xf>
    <xf numFmtId="0" fontId="47" fillId="0" borderId="0" xfId="117" applyFont="1" applyFill="1" applyAlignment="1">
      <alignment vertical="center"/>
    </xf>
    <xf numFmtId="3" fontId="62" fillId="0" borderId="0" xfId="117" applyNumberFormat="1" applyFont="1" applyFill="1" applyAlignment="1">
      <alignment vertical="center"/>
    </xf>
    <xf numFmtId="3" fontId="67" fillId="0" borderId="0" xfId="117" applyNumberFormat="1" applyFont="1" applyFill="1" applyAlignment="1">
      <alignment vertical="center"/>
    </xf>
    <xf numFmtId="0" fontId="62" fillId="0" borderId="0" xfId="117" applyFont="1" applyFill="1"/>
    <xf numFmtId="0" fontId="70" fillId="0" borderId="0" xfId="117" applyFont="1" applyFill="1"/>
    <xf numFmtId="3" fontId="71" fillId="0" borderId="0" xfId="117" applyNumberFormat="1" applyFont="1" applyFill="1" applyAlignment="1">
      <alignment vertical="center"/>
    </xf>
    <xf numFmtId="0" fontId="55" fillId="0" borderId="0" xfId="117" applyFont="1" applyFill="1" applyAlignment="1">
      <alignment vertical="center"/>
    </xf>
    <xf numFmtId="0" fontId="49" fillId="0" borderId="0" xfId="117" applyFont="1" applyFill="1" applyAlignment="1">
      <alignment vertical="center"/>
    </xf>
    <xf numFmtId="0" fontId="48" fillId="0" borderId="0" xfId="117" applyFont="1" applyFill="1" applyAlignment="1">
      <alignment vertical="center"/>
    </xf>
    <xf numFmtId="0" fontId="50" fillId="0" borderId="0" xfId="117" applyFont="1" applyFill="1" applyAlignment="1">
      <alignment vertical="center"/>
    </xf>
    <xf numFmtId="0" fontId="55" fillId="0" borderId="0" xfId="117" applyFont="1" applyFill="1" applyAlignment="1">
      <alignment vertical="center" wrapText="1"/>
    </xf>
    <xf numFmtId="0" fontId="55" fillId="0" borderId="22" xfId="117" applyFont="1" applyFill="1" applyBorder="1" applyAlignment="1">
      <alignment horizontal="center" vertical="center"/>
    </xf>
    <xf numFmtId="0" fontId="55" fillId="0" borderId="21" xfId="117" applyFont="1" applyFill="1" applyBorder="1" applyAlignment="1">
      <alignment horizontal="center" vertical="center"/>
    </xf>
    <xf numFmtId="0" fontId="68" fillId="0" borderId="0" xfId="117" applyFont="1" applyFill="1" applyAlignment="1">
      <alignment vertical="center"/>
    </xf>
    <xf numFmtId="0" fontId="55" fillId="0" borderId="0" xfId="117" applyFont="1" applyFill="1" applyAlignment="1">
      <alignment horizontal="left" vertical="center" wrapText="1"/>
    </xf>
    <xf numFmtId="0" fontId="72" fillId="0" borderId="0" xfId="115" applyFont="1" applyFill="1" applyAlignment="1">
      <alignment horizontal="center"/>
    </xf>
    <xf numFmtId="0" fontId="72" fillId="0" borderId="0" xfId="115" applyFont="1" applyFill="1" applyBorder="1" applyAlignment="1">
      <alignment horizontal="center"/>
    </xf>
    <xf numFmtId="0" fontId="73" fillId="0" borderId="0" xfId="62" applyFont="1" applyAlignment="1">
      <alignment horizontal="left" wrapText="1"/>
    </xf>
    <xf numFmtId="4" fontId="7" fillId="0" borderId="0" xfId="2" applyNumberFormat="1" applyFont="1" applyFill="1" applyBorder="1" applyAlignment="1">
      <alignment horizontal="center" vertical="center"/>
    </xf>
    <xf numFmtId="4" fontId="45" fillId="0" borderId="0" xfId="5" applyNumberFormat="1" applyFont="1" applyFill="1" applyBorder="1" applyAlignment="1">
      <alignment vertical="top" wrapText="1"/>
    </xf>
    <xf numFmtId="0" fontId="68" fillId="0" borderId="0" xfId="0" applyFont="1"/>
    <xf numFmtId="0" fontId="55" fillId="0" borderId="0" xfId="0" applyFont="1"/>
    <xf numFmtId="14" fontId="55" fillId="0" borderId="0" xfId="0" applyNumberFormat="1" applyFont="1" applyAlignment="1">
      <alignment horizontal="left"/>
    </xf>
    <xf numFmtId="0" fontId="50" fillId="0" borderId="18" xfId="0" applyFont="1" applyBorder="1" applyAlignment="1">
      <alignment vertical="center"/>
    </xf>
    <xf numFmtId="3" fontId="50" fillId="0" borderId="5" xfId="0" applyNumberFormat="1" applyFont="1" applyBorder="1" applyAlignment="1">
      <alignment vertical="center"/>
    </xf>
    <xf numFmtId="3" fontId="50" fillId="0" borderId="18" xfId="0" applyNumberFormat="1" applyFont="1" applyBorder="1" applyAlignment="1">
      <alignment vertical="center"/>
    </xf>
    <xf numFmtId="3" fontId="55" fillId="0" borderId="18" xfId="0" applyNumberFormat="1" applyFont="1" applyBorder="1" applyAlignment="1">
      <alignment vertical="center"/>
    </xf>
    <xf numFmtId="0" fontId="55" fillId="0" borderId="18" xfId="0" applyFont="1" applyBorder="1" applyAlignment="1">
      <alignment horizontal="right" vertical="center" wrapText="1"/>
    </xf>
    <xf numFmtId="0" fontId="55" fillId="0" borderId="1" xfId="0" applyFont="1" applyBorder="1" applyAlignment="1">
      <alignment horizontal="right" vertical="center" wrapText="1"/>
    </xf>
    <xf numFmtId="0" fontId="50" fillId="0" borderId="18" xfId="0" applyFont="1" applyBorder="1" applyAlignment="1">
      <alignment horizontal="right" vertical="center" wrapText="1"/>
    </xf>
    <xf numFmtId="0" fontId="55" fillId="0" borderId="0" xfId="0" applyFont="1" applyAlignment="1">
      <alignment horizontal="right"/>
    </xf>
    <xf numFmtId="0" fontId="55" fillId="0" borderId="18" xfId="0" applyFont="1" applyBorder="1" applyAlignment="1">
      <alignment vertical="center" wrapText="1"/>
    </xf>
    <xf numFmtId="0" fontId="55" fillId="0" borderId="18" xfId="0" quotePrefix="1" applyFont="1" applyBorder="1" applyAlignment="1">
      <alignment horizontal="left" vertical="center" indent="2"/>
    </xf>
    <xf numFmtId="0" fontId="9" fillId="0" borderId="0" xfId="116" applyFont="1" applyAlignment="1">
      <alignment horizontal="right"/>
    </xf>
    <xf numFmtId="0" fontId="9" fillId="0" borderId="0" xfId="116" applyFont="1"/>
    <xf numFmtId="0" fontId="46" fillId="0" borderId="0" xfId="117" applyFont="1" applyFill="1" applyAlignment="1">
      <alignment vertical="center"/>
    </xf>
    <xf numFmtId="3" fontId="63" fillId="0" borderId="0" xfId="117" applyNumberFormat="1" applyFont="1" applyFill="1" applyAlignment="1">
      <alignment vertical="center"/>
    </xf>
    <xf numFmtId="49" fontId="6" fillId="0" borderId="0" xfId="117" applyNumberFormat="1" applyFont="1" applyFill="1" applyAlignment="1">
      <alignment horizontal="left" vertical="center"/>
    </xf>
    <xf numFmtId="0" fontId="48" fillId="0" borderId="0" xfId="117" applyFont="1" applyFill="1"/>
    <xf numFmtId="0" fontId="47" fillId="0" borderId="0" xfId="117" applyFont="1" applyFill="1" applyAlignment="1">
      <alignment horizontal="right"/>
    </xf>
    <xf numFmtId="0" fontId="63" fillId="0" borderId="0" xfId="62" applyFont="1"/>
    <xf numFmtId="0" fontId="77" fillId="0" borderId="0" xfId="62" applyFont="1"/>
    <xf numFmtId="167" fontId="2" fillId="0" borderId="0" xfId="62" applyNumberFormat="1" applyFont="1"/>
    <xf numFmtId="166" fontId="2" fillId="0" borderId="0" xfId="62" applyNumberFormat="1" applyFont="1"/>
    <xf numFmtId="167" fontId="63" fillId="0" borderId="0" xfId="62" applyNumberFormat="1" applyFont="1"/>
    <xf numFmtId="10" fontId="78" fillId="0" borderId="0" xfId="62" applyNumberFormat="1" applyFont="1"/>
    <xf numFmtId="168" fontId="63" fillId="0" borderId="0" xfId="62" applyNumberFormat="1" applyFont="1"/>
    <xf numFmtId="167" fontId="55" fillId="0" borderId="0" xfId="0" applyNumberFormat="1" applyFont="1"/>
    <xf numFmtId="0" fontId="50" fillId="0" borderId="0" xfId="0" applyFont="1" applyAlignment="1">
      <alignment horizontal="center" wrapText="1"/>
    </xf>
    <xf numFmtId="0" fontId="55" fillId="0" borderId="0" xfId="0" applyFont="1" applyFill="1" applyAlignment="1">
      <alignment horizontal="right"/>
    </xf>
    <xf numFmtId="0" fontId="46" fillId="0" borderId="0" xfId="0" applyFont="1" applyAlignment="1">
      <alignment horizontal="left" vertical="center" wrapText="1"/>
    </xf>
    <xf numFmtId="0" fontId="46" fillId="0" borderId="0" xfId="0" applyFont="1" applyAlignment="1">
      <alignment horizontal="justify" vertical="center"/>
    </xf>
    <xf numFmtId="0" fontId="46" fillId="0" borderId="0" xfId="0" applyFont="1" applyAlignment="1">
      <alignment horizontal="left" vertical="center" indent="7"/>
    </xf>
    <xf numFmtId="0" fontId="81" fillId="0" borderId="0" xfId="0" applyFont="1" applyAlignment="1">
      <alignment horizontal="justify" vertical="center"/>
    </xf>
    <xf numFmtId="0" fontId="46" fillId="0" borderId="20" xfId="0" applyFont="1" applyBorder="1" applyAlignment="1">
      <alignment horizontal="center" wrapText="1"/>
    </xf>
    <xf numFmtId="0" fontId="46" fillId="0" borderId="0" xfId="0" applyFont="1" applyAlignment="1">
      <alignment horizontal="center" vertical="center" wrapText="1"/>
    </xf>
    <xf numFmtId="0" fontId="86" fillId="0" borderId="0" xfId="0" applyFont="1" applyAlignment="1">
      <alignment horizontal="justify" vertical="center"/>
    </xf>
    <xf numFmtId="0" fontId="55" fillId="0" borderId="0" xfId="0" applyFont="1" applyAlignment="1">
      <alignment horizontal="right" vertical="top"/>
    </xf>
    <xf numFmtId="0" fontId="46" fillId="0" borderId="0" xfId="0" applyFont="1" applyAlignment="1">
      <alignment horizontal="left" vertical="top" wrapText="1"/>
    </xf>
    <xf numFmtId="0" fontId="46" fillId="0" borderId="0" xfId="0" applyFont="1" applyAlignment="1">
      <alignment horizontal="left" vertical="center" wrapText="1" indent="7"/>
    </xf>
    <xf numFmtId="3" fontId="9" fillId="0" borderId="0" xfId="117" applyNumberFormat="1" applyFont="1" applyFill="1" applyAlignment="1">
      <alignment horizontal="right" vertical="center"/>
    </xf>
    <xf numFmtId="4" fontId="2" fillId="0" borderId="0" xfId="1" applyNumberFormat="1" applyFont="1" applyFill="1" applyBorder="1" applyAlignment="1">
      <alignment vertical="center"/>
    </xf>
    <xf numFmtId="4" fontId="3" fillId="0" borderId="0" xfId="1" applyNumberFormat="1" applyFont="1" applyFill="1" applyBorder="1" applyAlignment="1">
      <alignment vertical="center"/>
    </xf>
    <xf numFmtId="4" fontId="7" fillId="0" borderId="0" xfId="2" applyNumberFormat="1" applyFont="1" applyFill="1" applyAlignment="1">
      <alignment vertical="center"/>
    </xf>
    <xf numFmtId="3" fontId="7" fillId="0" borderId="0"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164" fontId="14" fillId="0" borderId="0" xfId="1" applyNumberFormat="1" applyFont="1" applyFill="1" applyBorder="1" applyAlignment="1">
      <alignment horizontal="right" vertical="center"/>
    </xf>
    <xf numFmtId="0" fontId="5" fillId="0" borderId="0" xfId="4" applyFont="1" applyFill="1" applyAlignment="1">
      <alignment vertical="center"/>
    </xf>
    <xf numFmtId="4" fontId="5" fillId="0" borderId="0" xfId="1" applyNumberFormat="1" applyFont="1" applyFill="1" applyBorder="1" applyAlignment="1">
      <alignment vertical="center"/>
    </xf>
    <xf numFmtId="164" fontId="7"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164" fontId="2" fillId="0" borderId="0" xfId="1" applyNumberFormat="1" applyFont="1" applyFill="1" applyBorder="1" applyAlignment="1">
      <alignment horizontal="right" vertical="center"/>
    </xf>
    <xf numFmtId="3" fontId="5" fillId="0" borderId="0" xfId="1" applyNumberFormat="1" applyFont="1" applyFill="1"/>
    <xf numFmtId="4" fontId="2" fillId="0" borderId="0" xfId="2" applyNumberFormat="1" applyFont="1" applyFill="1" applyAlignment="1">
      <alignment horizontal="left" vertical="top" wrapText="1" indent="4"/>
    </xf>
    <xf numFmtId="4" fontId="2" fillId="0" borderId="0" xfId="2" applyNumberFormat="1" applyFont="1" applyFill="1" applyAlignment="1">
      <alignment horizontal="left" wrapText="1" indent="3"/>
    </xf>
    <xf numFmtId="4" fontId="2" fillId="0" borderId="0" xfId="2" applyNumberFormat="1" applyFont="1" applyFill="1" applyAlignment="1">
      <alignment horizontal="left" vertical="top" wrapText="1" indent="3"/>
    </xf>
    <xf numFmtId="0" fontId="48" fillId="0" borderId="0" xfId="117" applyFont="1" applyFill="1" applyBorder="1"/>
    <xf numFmtId="3" fontId="62" fillId="0" borderId="0" xfId="117" applyNumberFormat="1" applyFont="1" applyFill="1"/>
    <xf numFmtId="3" fontId="68" fillId="0" borderId="0" xfId="117" applyNumberFormat="1" applyFont="1" applyFill="1" applyAlignment="1">
      <alignment vertical="center"/>
    </xf>
    <xf numFmtId="0" fontId="46" fillId="0" borderId="0" xfId="0" applyFont="1" applyAlignment="1">
      <alignment horizontal="left" vertical="center" wrapText="1"/>
    </xf>
    <xf numFmtId="0" fontId="0" fillId="0" borderId="0" xfId="0" applyFill="1"/>
    <xf numFmtId="0" fontId="46" fillId="0" borderId="0" xfId="0" applyFont="1" applyFill="1" applyAlignment="1">
      <alignment horizontal="left" vertical="top" wrapText="1"/>
    </xf>
    <xf numFmtId="0" fontId="46" fillId="0" borderId="0" xfId="0" applyFont="1" applyFill="1" applyAlignment="1">
      <alignment horizontal="left" vertical="center" wrapText="1"/>
    </xf>
    <xf numFmtId="0" fontId="2" fillId="0" borderId="0" xfId="62" applyFont="1" applyAlignment="1">
      <alignment horizontal="left" wrapText="1"/>
    </xf>
    <xf numFmtId="0" fontId="2" fillId="0" borderId="0" xfId="62" applyFont="1" applyAlignment="1">
      <alignment horizontal="left"/>
    </xf>
    <xf numFmtId="0" fontId="49" fillId="0" borderId="0" xfId="0" applyFont="1" applyAlignment="1">
      <alignment horizontal="left" vertical="center"/>
    </xf>
    <xf numFmtId="0" fontId="102" fillId="0" borderId="0" xfId="0" applyFont="1"/>
    <xf numFmtId="4" fontId="5" fillId="0" borderId="0" xfId="2" applyNumberFormat="1" applyFont="1" applyFill="1" applyAlignment="1">
      <alignment horizontal="right"/>
    </xf>
    <xf numFmtId="4" fontId="2" fillId="0" borderId="2" xfId="2" applyNumberFormat="1" applyFont="1" applyFill="1" applyBorder="1"/>
    <xf numFmtId="4" fontId="2" fillId="0" borderId="6" xfId="2" applyNumberFormat="1" applyFont="1" applyFill="1" applyBorder="1"/>
    <xf numFmtId="4" fontId="6" fillId="0" borderId="0" xfId="1" applyNumberFormat="1" applyFont="1" applyFill="1" applyBorder="1" applyAlignment="1">
      <alignment vertical="center"/>
    </xf>
    <xf numFmtId="4" fontId="10" fillId="0" borderId="0" xfId="2" applyNumberFormat="1" applyFont="1" applyFill="1" applyAlignment="1">
      <alignment vertical="center"/>
    </xf>
    <xf numFmtId="3" fontId="2" fillId="0" borderId="0" xfId="1" applyNumberFormat="1" applyFont="1" applyFill="1" applyBorder="1" applyAlignment="1">
      <alignment vertical="center"/>
    </xf>
    <xf numFmtId="4" fontId="10" fillId="0" borderId="0" xfId="1" applyNumberFormat="1" applyFont="1" applyFill="1" applyBorder="1" applyAlignment="1">
      <alignment vertical="center"/>
    </xf>
    <xf numFmtId="4" fontId="3" fillId="0" borderId="0" xfId="2" applyNumberFormat="1" applyFont="1" applyFill="1" applyAlignment="1">
      <alignment vertical="center"/>
    </xf>
    <xf numFmtId="3" fontId="11" fillId="0" borderId="0" xfId="1" applyNumberFormat="1" applyFont="1" applyFill="1" applyBorder="1" applyAlignment="1">
      <alignment horizontal="right" vertical="center"/>
    </xf>
    <xf numFmtId="4" fontId="15" fillId="0" borderId="0" xfId="1" applyNumberFormat="1" applyFont="1" applyFill="1" applyBorder="1" applyAlignment="1">
      <alignment vertical="center"/>
    </xf>
    <xf numFmtId="4" fontId="7" fillId="0" borderId="0" xfId="1" applyNumberFormat="1" applyFont="1" applyFill="1" applyBorder="1" applyAlignment="1">
      <alignment vertical="center"/>
    </xf>
    <xf numFmtId="4" fontId="2" fillId="0" borderId="0" xfId="5" applyNumberFormat="1" applyFont="1" applyFill="1" applyBorder="1" applyAlignment="1">
      <alignment vertical="center"/>
    </xf>
    <xf numFmtId="4" fontId="2" fillId="0" borderId="0" xfId="1" applyNumberFormat="1" applyFont="1" applyFill="1" applyBorder="1" applyAlignment="1">
      <alignment vertical="center" wrapText="1"/>
    </xf>
    <xf numFmtId="4" fontId="15" fillId="0" borderId="0" xfId="1" applyNumberFormat="1" applyFont="1" applyFill="1" applyBorder="1" applyAlignment="1">
      <alignment vertical="center" wrapText="1"/>
    </xf>
    <xf numFmtId="4" fontId="5" fillId="0" borderId="0" xfId="1" applyNumberFormat="1" applyFont="1" applyFill="1" applyBorder="1" applyAlignment="1">
      <alignment horizontal="left" vertical="center" wrapText="1"/>
    </xf>
    <xf numFmtId="4" fontId="15" fillId="0" borderId="0" xfId="5" applyNumberFormat="1" applyFont="1" applyFill="1" applyBorder="1" applyAlignment="1">
      <alignment vertical="center"/>
    </xf>
    <xf numFmtId="4" fontId="5" fillId="0" borderId="0" xfId="5" applyNumberFormat="1" applyFont="1" applyFill="1" applyBorder="1" applyAlignment="1">
      <alignment vertical="center"/>
    </xf>
    <xf numFmtId="4" fontId="2" fillId="0" borderId="0" xfId="2" applyNumberFormat="1" applyFont="1" applyFill="1" applyBorder="1" applyAlignment="1">
      <alignment vertical="center"/>
    </xf>
    <xf numFmtId="4" fontId="5" fillId="0" borderId="0" xfId="1" applyNumberFormat="1" applyFont="1" applyFill="1" applyBorder="1" applyAlignment="1">
      <alignment vertical="center" wrapText="1"/>
    </xf>
    <xf numFmtId="4" fontId="2" fillId="0" borderId="0" xfId="1" applyNumberFormat="1" applyFont="1" applyFill="1" applyBorder="1" applyAlignment="1">
      <alignment horizontal="left" vertical="center" indent="3"/>
    </xf>
    <xf numFmtId="4" fontId="7" fillId="0" borderId="0" xfId="1" applyNumberFormat="1" applyFont="1" applyFill="1" applyBorder="1"/>
    <xf numFmtId="4" fontId="3" fillId="0" borderId="0" xfId="1" applyNumberFormat="1" applyFont="1" applyFill="1" applyBorder="1"/>
    <xf numFmtId="1" fontId="10" fillId="0" borderId="0" xfId="1" applyNumberFormat="1" applyFont="1" applyFill="1"/>
    <xf numFmtId="0" fontId="10" fillId="0" borderId="0" xfId="1" applyFont="1" applyFill="1"/>
    <xf numFmtId="0" fontId="3" fillId="0" borderId="0" xfId="1" applyFont="1" applyFill="1"/>
    <xf numFmtId="0" fontId="2" fillId="0" borderId="0" xfId="1" applyFont="1" applyFill="1" applyBorder="1"/>
    <xf numFmtId="0" fontId="103" fillId="0" borderId="0" xfId="117" applyFont="1" applyFill="1" applyAlignment="1">
      <alignment horizontal="centerContinuous"/>
    </xf>
    <xf numFmtId="3" fontId="50" fillId="0" borderId="0" xfId="117" applyNumberFormat="1" applyFont="1" applyFill="1" applyBorder="1" applyAlignment="1">
      <alignment horizontal="right"/>
    </xf>
    <xf numFmtId="0" fontId="104" fillId="0" borderId="0" xfId="117" applyFont="1" applyAlignment="1">
      <alignment vertical="center"/>
    </xf>
    <xf numFmtId="0" fontId="6" fillId="0" borderId="0" xfId="116" applyFont="1" applyAlignment="1">
      <alignment horizontal="center" vertical="center"/>
    </xf>
    <xf numFmtId="4" fontId="48" fillId="0" borderId="1" xfId="2" applyNumberFormat="1" applyFont="1" applyBorder="1"/>
    <xf numFmtId="4" fontId="48" fillId="0" borderId="5" xfId="2" applyNumberFormat="1" applyFont="1" applyBorder="1"/>
    <xf numFmtId="0" fontId="48" fillId="0" borderId="0" xfId="116" applyFont="1"/>
    <xf numFmtId="0" fontId="48" fillId="0" borderId="0" xfId="116" applyFont="1" applyFill="1"/>
    <xf numFmtId="0" fontId="48" fillId="0" borderId="0" xfId="116" applyFont="1" applyAlignment="1"/>
    <xf numFmtId="3" fontId="48" fillId="0" borderId="0" xfId="116" applyNumberFormat="1" applyFont="1" applyAlignment="1"/>
    <xf numFmtId="3" fontId="48" fillId="0" borderId="0" xfId="116" applyNumberFormat="1" applyFont="1" applyFill="1" applyAlignment="1"/>
    <xf numFmtId="0" fontId="48" fillId="0" borderId="0" xfId="116" applyFont="1" applyAlignment="1">
      <alignment vertical="center" wrapText="1"/>
    </xf>
    <xf numFmtId="0" fontId="48" fillId="0" borderId="0" xfId="116" applyFont="1" applyAlignment="1">
      <alignment vertical="center"/>
    </xf>
    <xf numFmtId="3" fontId="48" fillId="0" borderId="0" xfId="116" applyNumberFormat="1" applyFont="1" applyFill="1" applyAlignment="1">
      <alignment vertical="center"/>
    </xf>
    <xf numFmtId="3" fontId="48" fillId="0" borderId="0" xfId="116" applyNumberFormat="1" applyFont="1" applyAlignment="1">
      <alignment vertical="center"/>
    </xf>
    <xf numFmtId="3" fontId="2" fillId="0" borderId="0" xfId="130" applyNumberFormat="1" applyFont="1"/>
    <xf numFmtId="3" fontId="5" fillId="0" borderId="0" xfId="130" applyNumberFormat="1" applyFont="1"/>
    <xf numFmtId="3" fontId="2" fillId="0" borderId="0" xfId="130" applyNumberFormat="1" applyFont="1" applyAlignment="1"/>
    <xf numFmtId="3" fontId="53" fillId="0" borderId="0" xfId="130" applyNumberFormat="1" applyFont="1"/>
    <xf numFmtId="3" fontId="60" fillId="0" borderId="0" xfId="130" applyNumberFormat="1" applyFont="1"/>
    <xf numFmtId="3" fontId="2" fillId="0" borderId="0" xfId="130" applyNumberFormat="1" applyFont="1" applyAlignment="1">
      <alignment vertical="top"/>
    </xf>
    <xf numFmtId="3" fontId="5" fillId="0" borderId="0" xfId="130" applyNumberFormat="1" applyFont="1" applyAlignment="1">
      <alignment vertical="top"/>
    </xf>
    <xf numFmtId="3" fontId="2" fillId="0" borderId="0" xfId="130" applyNumberFormat="1" applyFont="1" applyAlignment="1">
      <alignment horizontal="left"/>
    </xf>
    <xf numFmtId="3" fontId="45" fillId="0" borderId="0" xfId="130" applyNumberFormat="1" applyFont="1" applyAlignment="1">
      <alignment vertical="top"/>
    </xf>
    <xf numFmtId="3" fontId="93" fillId="0" borderId="0" xfId="130" applyNumberFormat="1" applyFont="1" applyAlignment="1">
      <alignment vertical="top"/>
    </xf>
    <xf numFmtId="3" fontId="10" fillId="0" borderId="0" xfId="130" applyNumberFormat="1" applyFont="1" applyAlignment="1">
      <alignment vertical="top"/>
    </xf>
    <xf numFmtId="3" fontId="9" fillId="0" borderId="0" xfId="130" applyNumberFormat="1" applyFont="1" applyAlignment="1">
      <alignment vertical="top"/>
    </xf>
    <xf numFmtId="3" fontId="53" fillId="0" borderId="0" xfId="130" applyNumberFormat="1" applyFont="1" applyAlignment="1">
      <alignment horizontal="left"/>
    </xf>
    <xf numFmtId="3" fontId="5" fillId="0" borderId="7" xfId="130" applyNumberFormat="1" applyFont="1" applyFill="1" applyBorder="1" applyAlignment="1">
      <alignment vertical="top"/>
    </xf>
    <xf numFmtId="3" fontId="2" fillId="0" borderId="7" xfId="130" applyNumberFormat="1" applyFont="1" applyBorder="1" applyAlignment="1">
      <alignment vertical="top"/>
    </xf>
    <xf numFmtId="3" fontId="15" fillId="0" borderId="0" xfId="130" applyNumberFormat="1" applyFont="1" applyAlignment="1">
      <alignment vertical="top"/>
    </xf>
    <xf numFmtId="3" fontId="5" fillId="0" borderId="0" xfId="130" applyNumberFormat="1" applyFont="1" applyFill="1" applyBorder="1" applyAlignment="1">
      <alignment vertical="top"/>
    </xf>
    <xf numFmtId="0" fontId="12" fillId="0" borderId="0" xfId="130" applyFont="1" applyAlignment="1">
      <alignment horizontal="left" vertical="top" wrapText="1"/>
    </xf>
    <xf numFmtId="3" fontId="2" fillId="0" borderId="0" xfId="130" applyNumberFormat="1" applyFont="1" applyFill="1" applyBorder="1" applyAlignment="1">
      <alignment vertical="top"/>
    </xf>
    <xf numFmtId="3" fontId="2" fillId="0" borderId="0" xfId="130" applyNumberFormat="1" applyFont="1" applyFill="1" applyAlignment="1">
      <alignment vertical="top"/>
    </xf>
    <xf numFmtId="3" fontId="5" fillId="0" borderId="0" xfId="130" applyNumberFormat="1" applyFont="1" applyFill="1" applyAlignment="1">
      <alignment vertical="top"/>
    </xf>
    <xf numFmtId="3" fontId="2" fillId="0" borderId="0" xfId="130" applyNumberFormat="1" applyFont="1" applyAlignment="1">
      <alignment vertical="center"/>
    </xf>
    <xf numFmtId="3" fontId="2" fillId="0" borderId="0" xfId="130" applyNumberFormat="1" applyFont="1" applyFill="1" applyAlignment="1">
      <alignment vertical="center"/>
    </xf>
    <xf numFmtId="3" fontId="5" fillId="0" borderId="0" xfId="130" applyNumberFormat="1" applyFont="1" applyFill="1" applyAlignment="1">
      <alignment vertical="center"/>
    </xf>
    <xf numFmtId="164" fontId="5" fillId="0" borderId="0" xfId="130" applyNumberFormat="1" applyFont="1" applyFill="1" applyAlignment="1">
      <alignment vertical="top"/>
    </xf>
    <xf numFmtId="3" fontId="43" fillId="0" borderId="0" xfId="130" applyNumberFormat="1" applyFont="1" applyAlignment="1">
      <alignment vertical="top"/>
    </xf>
    <xf numFmtId="164" fontId="2" fillId="0" borderId="5" xfId="130" applyNumberFormat="1" applyFont="1" applyBorder="1" applyAlignment="1">
      <alignment horizontal="center" vertical="center"/>
    </xf>
    <xf numFmtId="164" fontId="5" fillId="0" borderId="5" xfId="130" applyNumberFormat="1" applyFont="1" applyBorder="1" applyAlignment="1">
      <alignment horizontal="center" vertical="center"/>
    </xf>
    <xf numFmtId="3" fontId="2" fillId="0" borderId="5" xfId="130" applyNumberFormat="1" applyFont="1" applyBorder="1" applyAlignment="1">
      <alignment horizontal="center" vertical="center" wrapText="1"/>
    </xf>
    <xf numFmtId="3" fontId="2" fillId="0" borderId="1" xfId="130" applyNumberFormat="1" applyFont="1" applyBorder="1" applyAlignment="1">
      <alignment horizontal="center" vertical="center"/>
    </xf>
    <xf numFmtId="3" fontId="5" fillId="0" borderId="1" xfId="130" applyNumberFormat="1" applyFont="1" applyBorder="1" applyAlignment="1">
      <alignment horizontal="center" vertical="center"/>
    </xf>
    <xf numFmtId="3" fontId="2" fillId="0" borderId="1" xfId="130" applyNumberFormat="1" applyFont="1" applyBorder="1" applyAlignment="1">
      <alignment horizontal="center" vertical="center" wrapText="1"/>
    </xf>
    <xf numFmtId="3" fontId="92" fillId="0" borderId="0" xfId="130" applyNumberFormat="1" applyFont="1" applyAlignment="1">
      <alignment vertical="top"/>
    </xf>
    <xf numFmtId="0" fontId="2" fillId="0" borderId="0" xfId="130" applyFont="1" applyFill="1" applyAlignment="1">
      <alignment horizontal="left" vertical="top" wrapText="1"/>
    </xf>
    <xf numFmtId="3" fontId="43" fillId="0" borderId="0" xfId="130" applyNumberFormat="1" applyFont="1" applyAlignment="1">
      <alignment vertical="center" wrapText="1"/>
    </xf>
    <xf numFmtId="3" fontId="10" fillId="0" borderId="0" xfId="130" applyNumberFormat="1" applyFont="1" applyAlignment="1">
      <alignment vertical="center"/>
    </xf>
    <xf numFmtId="164" fontId="2" fillId="0" borderId="0" xfId="130" applyNumberFormat="1" applyFont="1" applyFill="1" applyAlignment="1">
      <alignment vertical="top"/>
    </xf>
    <xf numFmtId="0" fontId="2" fillId="0" borderId="0" xfId="130" applyFont="1" applyFill="1" applyAlignment="1">
      <alignment vertical="center"/>
    </xf>
    <xf numFmtId="3" fontId="91" fillId="0" borderId="0" xfId="130" applyNumberFormat="1" applyFont="1" applyAlignment="1">
      <alignment vertical="top"/>
    </xf>
    <xf numFmtId="3" fontId="2" fillId="0" borderId="6" xfId="130" applyNumberFormat="1" applyFont="1" applyBorder="1"/>
    <xf numFmtId="3" fontId="2" fillId="0" borderId="2" xfId="130" applyNumberFormat="1" applyFont="1" applyBorder="1"/>
    <xf numFmtId="3" fontId="2" fillId="0" borderId="0" xfId="117" applyNumberFormat="1" applyFont="1" applyFill="1" applyAlignment="1">
      <alignment vertical="center"/>
    </xf>
    <xf numFmtId="0" fontId="2" fillId="0" borderId="0" xfId="117" applyFont="1" applyFill="1" applyAlignment="1">
      <alignment vertical="center"/>
    </xf>
    <xf numFmtId="0" fontId="107" fillId="0" borderId="0" xfId="0" applyFont="1"/>
    <xf numFmtId="0" fontId="108" fillId="0" borderId="0" xfId="0" applyFont="1" applyAlignment="1">
      <alignment horizontal="left" vertical="center" wrapText="1"/>
    </xf>
    <xf numFmtId="0" fontId="108" fillId="0" borderId="0" xfId="0" applyFont="1" applyFill="1" applyAlignment="1">
      <alignment horizontal="left" vertical="top" wrapText="1"/>
    </xf>
    <xf numFmtId="0" fontId="108" fillId="0" borderId="0" xfId="0" applyFont="1" applyFill="1" applyAlignment="1">
      <alignment horizontal="left" vertical="center" wrapText="1"/>
    </xf>
    <xf numFmtId="0" fontId="106" fillId="0" borderId="0" xfId="0" applyFont="1"/>
    <xf numFmtId="167" fontId="106" fillId="0" borderId="0" xfId="0" applyNumberFormat="1" applyFont="1"/>
    <xf numFmtId="0" fontId="78" fillId="0" borderId="0" xfId="116" applyFont="1"/>
    <xf numFmtId="0" fontId="78" fillId="0" borderId="0" xfId="62" applyFont="1"/>
    <xf numFmtId="0" fontId="78" fillId="0" borderId="0" xfId="62" applyFont="1" applyAlignment="1">
      <alignment horizontal="left"/>
    </xf>
    <xf numFmtId="0" fontId="110" fillId="0" borderId="0" xfId="0" applyFont="1" applyAlignment="1">
      <alignment horizontal="left" vertical="center"/>
    </xf>
    <xf numFmtId="0" fontId="108" fillId="0" borderId="0" xfId="62" applyFont="1"/>
    <xf numFmtId="0" fontId="78" fillId="0" borderId="0" xfId="115" applyNumberFormat="1" applyFont="1" applyAlignment="1">
      <alignment horizontal="left" vertical="justify" wrapText="1"/>
    </xf>
    <xf numFmtId="0" fontId="78" fillId="0" borderId="0" xfId="115" applyFont="1"/>
    <xf numFmtId="0" fontId="78" fillId="0" borderId="0" xfId="115" applyFont="1" applyBorder="1"/>
    <xf numFmtId="0" fontId="107" fillId="0" borderId="0" xfId="0" applyFont="1" applyFill="1"/>
    <xf numFmtId="0" fontId="106" fillId="0" borderId="0" xfId="0" applyFont="1" applyFill="1"/>
    <xf numFmtId="167" fontId="106" fillId="0" borderId="0" xfId="0" applyNumberFormat="1" applyFont="1" applyFill="1"/>
    <xf numFmtId="0" fontId="78" fillId="0" borderId="0" xfId="116" applyFont="1" applyFill="1"/>
    <xf numFmtId="0" fontId="78" fillId="0" borderId="0" xfId="62" applyFont="1" applyFill="1"/>
    <xf numFmtId="49" fontId="78" fillId="0" borderId="0" xfId="62" applyNumberFormat="1" applyFont="1" applyFill="1" applyAlignment="1"/>
    <xf numFmtId="0" fontId="78" fillId="0" borderId="0" xfId="62" applyFont="1" applyFill="1" applyAlignment="1">
      <alignment horizontal="left"/>
    </xf>
    <xf numFmtId="0" fontId="110" fillId="0" borderId="0" xfId="0" applyFont="1" applyFill="1" applyAlignment="1">
      <alignment horizontal="left" vertical="center"/>
    </xf>
    <xf numFmtId="0" fontId="108" fillId="0" borderId="0" xfId="62" applyFont="1" applyFill="1"/>
    <xf numFmtId="0" fontId="78" fillId="0" borderId="0" xfId="115" applyNumberFormat="1" applyFont="1" applyFill="1" applyAlignment="1">
      <alignment horizontal="left" vertical="justify" wrapText="1"/>
    </xf>
    <xf numFmtId="0" fontId="78" fillId="0" borderId="0" xfId="115" applyFont="1" applyFill="1"/>
    <xf numFmtId="4" fontId="6" fillId="0" borderId="0" xfId="2" applyNumberFormat="1" applyFont="1" applyFill="1" applyAlignment="1">
      <alignment horizontal="center"/>
    </xf>
    <xf numFmtId="0" fontId="2" fillId="0" borderId="0" xfId="62" applyFont="1" applyAlignment="1">
      <alignment horizontal="left" wrapText="1"/>
    </xf>
    <xf numFmtId="0" fontId="2" fillId="0" borderId="18" xfId="115" applyFont="1" applyFill="1" applyBorder="1" applyAlignment="1">
      <alignment horizontal="center" vertical="center" wrapText="1"/>
    </xf>
    <xf numFmtId="0" fontId="5" fillId="0" borderId="18" xfId="115" applyFont="1" applyBorder="1" applyAlignment="1">
      <alignment horizontal="center"/>
    </xf>
    <xf numFmtId="2" fontId="5" fillId="0" borderId="18" xfId="115" applyNumberFormat="1" applyFont="1" applyFill="1" applyBorder="1" applyAlignment="1">
      <alignment horizontal="center"/>
    </xf>
    <xf numFmtId="166" fontId="5" fillId="0" borderId="18" xfId="115" applyNumberFormat="1" applyFont="1" applyFill="1" applyBorder="1" applyAlignment="1">
      <alignment horizontal="center"/>
    </xf>
    <xf numFmtId="2" fontId="5" fillId="0" borderId="18" xfId="115" applyNumberFormat="1" applyFont="1" applyFill="1" applyBorder="1" applyAlignment="1">
      <alignment horizontal="center" vertical="center"/>
    </xf>
    <xf numFmtId="3" fontId="9" fillId="0" borderId="18" xfId="0" applyNumberFormat="1" applyFont="1" applyBorder="1" applyAlignment="1">
      <alignment vertical="center"/>
    </xf>
    <xf numFmtId="3" fontId="9" fillId="0" borderId="18" xfId="0" applyNumberFormat="1" applyFont="1" applyFill="1" applyBorder="1" applyAlignment="1">
      <alignment vertical="center"/>
    </xf>
    <xf numFmtId="0" fontId="9" fillId="0" borderId="0" xfId="0" applyFont="1" applyFill="1" applyAlignment="1">
      <alignment horizontal="right"/>
    </xf>
    <xf numFmtId="0" fontId="9" fillId="0" borderId="0" xfId="0" applyFont="1" applyFill="1" applyAlignment="1">
      <alignment horizontal="right" vertical="top"/>
    </xf>
    <xf numFmtId="2" fontId="2" fillId="0" borderId="0" xfId="2" applyNumberFormat="1" applyFont="1" applyFill="1" applyProtection="1">
      <protection hidden="1"/>
    </xf>
    <xf numFmtId="2" fontId="5" fillId="0" borderId="0" xfId="2" applyNumberFormat="1" applyFont="1" applyFill="1" applyProtection="1">
      <protection hidden="1"/>
    </xf>
    <xf numFmtId="4" fontId="2" fillId="0" borderId="0" xfId="2" quotePrefix="1" applyNumberFormat="1" applyFont="1" applyFill="1" applyAlignment="1" applyProtection="1">
      <alignment horizontal="right"/>
      <protection hidden="1"/>
    </xf>
    <xf numFmtId="165" fontId="2" fillId="0" borderId="0" xfId="2" quotePrefix="1" applyNumberFormat="1" applyFont="1" applyFill="1" applyAlignment="1" applyProtection="1">
      <alignment horizontal="right"/>
      <protection hidden="1"/>
    </xf>
    <xf numFmtId="165" fontId="2" fillId="0" borderId="0" xfId="2" applyNumberFormat="1" applyFont="1" applyFill="1" applyProtection="1">
      <protection hidden="1"/>
    </xf>
    <xf numFmtId="165" fontId="5" fillId="0" borderId="0" xfId="2" applyNumberFormat="1" applyFont="1" applyFill="1" applyProtection="1">
      <protection hidden="1"/>
    </xf>
    <xf numFmtId="3" fontId="2" fillId="0" borderId="0" xfId="2" applyNumberFormat="1" applyFont="1" applyFill="1" applyAlignment="1" applyProtection="1">
      <alignment vertical="center"/>
      <protection hidden="1"/>
    </xf>
    <xf numFmtId="3" fontId="5" fillId="0" borderId="0" xfId="2" applyNumberFormat="1" applyFont="1" applyFill="1" applyAlignment="1" applyProtection="1">
      <alignment vertical="center"/>
      <protection hidden="1"/>
    </xf>
    <xf numFmtId="164" fontId="5" fillId="0" borderId="0" xfId="2" applyNumberFormat="1" applyFont="1" applyFill="1"/>
    <xf numFmtId="3" fontId="44" fillId="0" borderId="0" xfId="2" applyNumberFormat="1" applyFont="1" applyFill="1"/>
    <xf numFmtId="3" fontId="16" fillId="0" borderId="0" xfId="2" applyNumberFormat="1" applyFont="1" applyFill="1"/>
    <xf numFmtId="3" fontId="44" fillId="0" borderId="0" xfId="2" applyNumberFormat="1" applyFont="1" applyFill="1" applyProtection="1">
      <protection hidden="1"/>
    </xf>
    <xf numFmtId="3" fontId="10" fillId="0" borderId="0" xfId="2" applyNumberFormat="1" applyFont="1" applyFill="1"/>
    <xf numFmtId="3" fontId="111" fillId="0" borderId="0" xfId="2" applyNumberFormat="1" applyFont="1" applyFill="1"/>
    <xf numFmtId="3" fontId="7" fillId="0" borderId="0" xfId="2" applyNumberFormat="1" applyFont="1" applyFill="1" applyProtection="1">
      <protection hidden="1"/>
    </xf>
    <xf numFmtId="4" fontId="111" fillId="0" borderId="0" xfId="2" applyNumberFormat="1" applyFont="1" applyFill="1"/>
    <xf numFmtId="3" fontId="5" fillId="0" borderId="0" xfId="2" applyNumberFormat="1" applyFont="1" applyFill="1" applyProtection="1">
      <protection hidden="1"/>
    </xf>
    <xf numFmtId="1" fontId="11" fillId="0" borderId="0" xfId="2" applyNumberFormat="1" applyFont="1" applyFill="1" applyProtection="1">
      <protection hidden="1"/>
    </xf>
    <xf numFmtId="2" fontId="111" fillId="0" borderId="0" xfId="2" applyNumberFormat="1" applyFont="1" applyFill="1" applyProtection="1">
      <protection hidden="1"/>
    </xf>
    <xf numFmtId="3" fontId="7" fillId="0" borderId="0" xfId="2" applyNumberFormat="1" applyFont="1" applyFill="1" applyBorder="1" applyProtection="1">
      <protection hidden="1"/>
    </xf>
    <xf numFmtId="3" fontId="3" fillId="0" borderId="0" xfId="2" applyNumberFormat="1" applyFont="1" applyFill="1" applyBorder="1" applyProtection="1">
      <protection hidden="1"/>
    </xf>
    <xf numFmtId="1" fontId="7" fillId="0" borderId="0" xfId="2" applyNumberFormat="1" applyFont="1" applyFill="1" applyBorder="1" applyProtection="1">
      <protection hidden="1"/>
    </xf>
    <xf numFmtId="2" fontId="11" fillId="0" borderId="0" xfId="2" applyNumberFormat="1" applyFont="1" applyFill="1" applyProtection="1">
      <protection hidden="1"/>
    </xf>
    <xf numFmtId="3" fontId="3" fillId="0" borderId="0" xfId="2" applyNumberFormat="1" applyFont="1" applyFill="1"/>
    <xf numFmtId="3" fontId="7" fillId="0" borderId="0" xfId="2" applyNumberFormat="1" applyFont="1" applyFill="1"/>
    <xf numFmtId="4" fontId="3" fillId="0" borderId="0" xfId="2" applyNumberFormat="1" applyFont="1" applyFill="1" applyProtection="1">
      <protection hidden="1"/>
    </xf>
    <xf numFmtId="3" fontId="10" fillId="0" borderId="0" xfId="1" applyNumberFormat="1" applyFont="1" applyFill="1" applyBorder="1" applyAlignment="1">
      <alignment horizontal="right" vertical="center"/>
    </xf>
    <xf numFmtId="4" fontId="7"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3" fontId="7" fillId="0" borderId="0" xfId="5" applyNumberFormat="1" applyFont="1" applyFill="1" applyBorder="1" applyAlignment="1">
      <alignment horizontal="right" vertical="center"/>
    </xf>
    <xf numFmtId="3" fontId="3" fillId="0" borderId="0" xfId="5" applyNumberFormat="1" applyFont="1" applyFill="1" applyBorder="1" applyAlignment="1">
      <alignment horizontal="right" vertical="center"/>
    </xf>
    <xf numFmtId="3" fontId="5" fillId="0" borderId="0" xfId="4" applyNumberFormat="1" applyFont="1" applyFill="1" applyAlignment="1">
      <alignment vertical="center"/>
    </xf>
    <xf numFmtId="3" fontId="5" fillId="0" borderId="0" xfId="1" applyNumberFormat="1" applyFont="1" applyFill="1" applyBorder="1" applyAlignment="1">
      <alignment vertical="center"/>
    </xf>
    <xf numFmtId="4" fontId="2" fillId="0" borderId="0" xfId="1" applyNumberFormat="1" applyFont="1" applyFill="1" applyBorder="1" applyAlignment="1">
      <alignment horizontal="right" vertical="center"/>
    </xf>
    <xf numFmtId="4" fontId="5" fillId="0" borderId="0" xfId="1"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0" fontId="7" fillId="0" borderId="0" xfId="4" applyFont="1" applyFill="1" applyAlignment="1">
      <alignment vertical="center"/>
    </xf>
    <xf numFmtId="3" fontId="3" fillId="0" borderId="0" xfId="4" applyNumberFormat="1" applyFont="1" applyFill="1" applyAlignment="1">
      <alignment vertical="center"/>
    </xf>
    <xf numFmtId="4" fontId="44"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xf>
    <xf numFmtId="3" fontId="2" fillId="0" borderId="0" xfId="1" applyNumberFormat="1" applyFont="1" applyFill="1" applyBorder="1" applyAlignment="1">
      <alignment horizontal="right" vertical="center"/>
    </xf>
    <xf numFmtId="3" fontId="10" fillId="0" borderId="0" xfId="1" applyNumberFormat="1" applyFont="1" applyFill="1" applyBorder="1" applyAlignment="1">
      <alignment vertical="center"/>
    </xf>
    <xf numFmtId="3" fontId="5" fillId="0" borderId="0" xfId="1" applyNumberFormat="1" applyFont="1" applyFill="1" applyBorder="1" applyAlignment="1">
      <alignment horizontal="right" vertical="center" wrapText="1"/>
    </xf>
    <xf numFmtId="3" fontId="2"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vertical="center" wrapText="1"/>
    </xf>
    <xf numFmtId="3" fontId="5" fillId="0" borderId="0" xfId="1" quotePrefix="1" applyNumberFormat="1" applyFont="1" applyFill="1" applyBorder="1" applyAlignment="1">
      <alignment horizontal="right" vertical="center"/>
    </xf>
    <xf numFmtId="3" fontId="11" fillId="0" borderId="0" xfId="1" applyNumberFormat="1" applyFont="1" applyFill="1" applyAlignment="1"/>
    <xf numFmtId="3" fontId="14" fillId="0" borderId="0" xfId="1" applyNumberFormat="1" applyFont="1" applyFill="1"/>
    <xf numFmtId="164" fontId="14" fillId="0" borderId="0" xfId="1" applyNumberFormat="1" applyFont="1" applyFill="1"/>
    <xf numFmtId="164" fontId="13" fillId="0" borderId="0" xfId="1" applyNumberFormat="1" applyFont="1" applyFill="1"/>
    <xf numFmtId="164" fontId="2" fillId="0" borderId="0" xfId="1" applyNumberFormat="1" applyFont="1" applyFill="1"/>
    <xf numFmtId="164" fontId="5" fillId="0" borderId="0" xfId="1" applyNumberFormat="1" applyFont="1" applyFill="1"/>
    <xf numFmtId="3" fontId="7" fillId="0" borderId="0" xfId="1" applyNumberFormat="1" applyFont="1" applyFill="1"/>
    <xf numFmtId="3" fontId="3" fillId="0" borderId="0" xfId="1" applyNumberFormat="1" applyFont="1" applyFill="1"/>
    <xf numFmtId="164" fontId="7" fillId="0" borderId="0" xfId="1" applyNumberFormat="1" applyFont="1" applyFill="1"/>
    <xf numFmtId="164" fontId="3" fillId="0" borderId="0" xfId="1" applyNumberFormat="1" applyFont="1" applyFill="1"/>
    <xf numFmtId="4" fontId="7" fillId="0" borderId="0" xfId="1" applyNumberFormat="1" applyFont="1" applyFill="1"/>
    <xf numFmtId="4" fontId="3" fillId="0" borderId="0" xfId="1" applyNumberFormat="1" applyFont="1" applyFill="1"/>
    <xf numFmtId="4" fontId="5" fillId="0" borderId="0" xfId="1" applyNumberFormat="1" applyFont="1" applyFill="1"/>
    <xf numFmtId="4" fontId="2" fillId="0" borderId="0" xfId="1" applyNumberFormat="1" applyFont="1" applyFill="1"/>
    <xf numFmtId="3" fontId="5" fillId="0" borderId="0" xfId="5" applyNumberFormat="1" applyFont="1" applyFill="1"/>
    <xf numFmtId="3" fontId="7" fillId="0" borderId="0" xfId="5" applyNumberFormat="1" applyFont="1" applyFill="1"/>
    <xf numFmtId="3" fontId="3" fillId="0" borderId="0" xfId="5" applyNumberFormat="1" applyFont="1" applyFill="1"/>
    <xf numFmtId="3" fontId="5" fillId="0" borderId="0" xfId="2" applyNumberFormat="1" applyFont="1" applyFill="1" applyAlignment="1">
      <alignment vertical="top"/>
    </xf>
    <xf numFmtId="3" fontId="5" fillId="0" borderId="0" xfId="2" quotePrefix="1" applyNumberFormat="1" applyFont="1" applyFill="1" applyAlignment="1">
      <alignment horizontal="right" vertical="top"/>
    </xf>
    <xf numFmtId="164" fontId="10" fillId="0" borderId="0" xfId="2" applyNumberFormat="1" applyFont="1" applyFill="1"/>
    <xf numFmtId="3" fontId="11" fillId="0" borderId="0" xfId="2" applyNumberFormat="1" applyFont="1" applyFill="1" applyBorder="1" applyAlignment="1">
      <alignment horizontal="center" vertical="center" wrapText="1"/>
    </xf>
    <xf numFmtId="3" fontId="111" fillId="0" borderId="0" xfId="2" applyNumberFormat="1" applyFont="1" applyFill="1" applyBorder="1" applyAlignment="1">
      <alignment horizontal="center" vertical="center" wrapText="1"/>
    </xf>
    <xf numFmtId="3" fontId="5" fillId="0" borderId="0" xfId="4" applyNumberFormat="1" applyFont="1" applyFill="1" applyBorder="1" applyAlignment="1">
      <alignment horizontal="right" vertical="top"/>
    </xf>
    <xf numFmtId="3" fontId="14" fillId="0" borderId="0" xfId="1" applyNumberFormat="1" applyFont="1" applyFill="1" applyBorder="1" applyAlignment="1">
      <alignment horizontal="right" vertical="top"/>
    </xf>
    <xf numFmtId="3" fontId="13" fillId="0" borderId="0" xfId="1" applyNumberFormat="1" applyFont="1" applyFill="1" applyBorder="1" applyAlignment="1">
      <alignment horizontal="right" vertical="top"/>
    </xf>
    <xf numFmtId="3" fontId="5" fillId="0" borderId="0"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3" fillId="0" borderId="0" xfId="4" applyNumberFormat="1" applyFont="1" applyFill="1" applyBorder="1" applyAlignment="1">
      <alignment horizontal="right" vertical="top"/>
    </xf>
    <xf numFmtId="3" fontId="7" fillId="0" borderId="0" xfId="1" applyNumberFormat="1" applyFont="1" applyFill="1" applyBorder="1" applyAlignment="1">
      <alignment horizontal="right" vertical="top"/>
    </xf>
    <xf numFmtId="3" fontId="3" fillId="0" borderId="0" xfId="1" applyNumberFormat="1" applyFont="1" applyFill="1" applyBorder="1" applyAlignment="1">
      <alignment horizontal="right" vertical="top"/>
    </xf>
    <xf numFmtId="3" fontId="14" fillId="0" borderId="0" xfId="4" applyNumberFormat="1" applyFont="1" applyFill="1" applyBorder="1" applyAlignment="1">
      <alignment horizontal="right" vertical="center"/>
    </xf>
    <xf numFmtId="3" fontId="13" fillId="0" borderId="0" xfId="4" applyNumberFormat="1" applyFont="1" applyFill="1" applyBorder="1" applyAlignment="1">
      <alignment horizontal="right" vertical="center"/>
    </xf>
    <xf numFmtId="3" fontId="14" fillId="0" borderId="0" xfId="4" applyNumberFormat="1" applyFont="1" applyFill="1" applyBorder="1" applyAlignment="1">
      <alignment horizontal="right" vertical="top"/>
    </xf>
    <xf numFmtId="3" fontId="2" fillId="0" borderId="0" xfId="4" applyNumberFormat="1" applyFont="1" applyFill="1" applyBorder="1" applyAlignment="1">
      <alignment horizontal="right" vertical="top"/>
    </xf>
    <xf numFmtId="3" fontId="3" fillId="0" borderId="0" xfId="5" applyNumberFormat="1" applyFont="1" applyFill="1" applyAlignment="1">
      <alignment horizontal="right" vertical="top"/>
    </xf>
    <xf numFmtId="3" fontId="3" fillId="0" borderId="0" xfId="5" applyNumberFormat="1" applyFont="1" applyFill="1" applyBorder="1" applyAlignment="1">
      <alignment horizontal="right" vertical="top"/>
    </xf>
    <xf numFmtId="3" fontId="111" fillId="0" borderId="0" xfId="4" applyNumberFormat="1" applyFont="1" applyFill="1" applyBorder="1" applyAlignment="1">
      <alignment horizontal="right" vertical="top"/>
    </xf>
    <xf numFmtId="3" fontId="11" fillId="0" borderId="0" xfId="4" applyNumberFormat="1" applyFont="1" applyFill="1" applyBorder="1" applyAlignment="1">
      <alignment horizontal="right" vertical="top"/>
    </xf>
    <xf numFmtId="3" fontId="7" fillId="0" borderId="0" xfId="2" applyNumberFormat="1" applyFont="1" applyFill="1" applyAlignment="1">
      <alignment horizontal="right" vertical="top"/>
    </xf>
    <xf numFmtId="3" fontId="3" fillId="0" borderId="0" xfId="2" applyNumberFormat="1" applyFont="1" applyFill="1" applyAlignment="1">
      <alignment horizontal="right" vertical="top"/>
    </xf>
    <xf numFmtId="0" fontId="2" fillId="0" borderId="0" xfId="4" applyFont="1" applyFill="1" applyBorder="1" applyAlignment="1">
      <alignment horizontal="right" vertical="center"/>
    </xf>
    <xf numFmtId="0" fontId="5" fillId="0" borderId="0" xfId="4" applyFont="1" applyFill="1" applyBorder="1" applyAlignment="1">
      <alignment horizontal="right" vertical="center"/>
    </xf>
    <xf numFmtId="3" fontId="5" fillId="0" borderId="7" xfId="6" applyNumberFormat="1" applyFont="1" applyFill="1" applyBorder="1" applyAlignment="1">
      <alignment horizontal="right" vertical="center"/>
    </xf>
    <xf numFmtId="0" fontId="52" fillId="0" borderId="0" xfId="130" applyFont="1" applyAlignment="1">
      <alignment horizontal="center"/>
    </xf>
    <xf numFmtId="3" fontId="6" fillId="0" borderId="0" xfId="130" applyNumberFormat="1" applyFont="1" applyAlignment="1">
      <alignment horizontal="center" vertical="center"/>
    </xf>
    <xf numFmtId="3" fontId="6" fillId="0" borderId="0" xfId="130" applyNumberFormat="1" applyFont="1" applyAlignment="1">
      <alignment horizontal="center"/>
    </xf>
    <xf numFmtId="4" fontId="3" fillId="0" borderId="1" xfId="2" applyNumberFormat="1" applyFont="1" applyFill="1" applyBorder="1" applyAlignment="1">
      <alignment horizontal="center" vertical="center" wrapText="1"/>
    </xf>
    <xf numFmtId="4" fontId="10"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4" fontId="9"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xf>
    <xf numFmtId="4" fontId="7" fillId="0" borderId="5" xfId="2" applyNumberFormat="1" applyFont="1" applyFill="1" applyBorder="1" applyAlignment="1">
      <alignment horizontal="center" vertical="center"/>
    </xf>
    <xf numFmtId="4" fontId="7" fillId="0" borderId="5" xfId="2" applyNumberFormat="1" applyFont="1" applyFill="1" applyBorder="1" applyAlignment="1">
      <alignment horizontal="center" vertical="center" wrapText="1"/>
    </xf>
    <xf numFmtId="4" fontId="6" fillId="0" borderId="0" xfId="2" applyNumberFormat="1" applyFont="1" applyFill="1" applyAlignment="1">
      <alignment horizontal="center"/>
    </xf>
    <xf numFmtId="0" fontId="2" fillId="0" borderId="0" xfId="62" applyNumberFormat="1" applyFont="1" applyAlignment="1">
      <alignment vertical="top" wrapText="1"/>
    </xf>
    <xf numFmtId="0" fontId="5" fillId="0" borderId="0" xfId="115" applyFont="1" applyAlignment="1">
      <alignment horizontal="center"/>
    </xf>
    <xf numFmtId="0" fontId="2" fillId="0" borderId="0" xfId="62" applyFont="1" applyAlignment="1">
      <alignment horizontal="justify" vertical="top" wrapText="1"/>
    </xf>
    <xf numFmtId="0" fontId="2" fillId="0" borderId="0" xfId="62" applyNumberFormat="1" applyFont="1" applyAlignment="1">
      <alignment horizontal="justify" vertical="top" wrapText="1"/>
    </xf>
    <xf numFmtId="0" fontId="2" fillId="0" borderId="18" xfId="115" applyFont="1" applyBorder="1" applyAlignment="1">
      <alignment horizontal="center"/>
    </xf>
    <xf numFmtId="0" fontId="2" fillId="0" borderId="3" xfId="115" applyFont="1" applyBorder="1" applyAlignment="1">
      <alignment horizontal="center" vertical="center" wrapText="1"/>
    </xf>
    <xf numFmtId="0" fontId="2" fillId="0" borderId="4" xfId="115" applyFont="1" applyBorder="1" applyAlignment="1">
      <alignment horizontal="center" vertical="center" wrapText="1"/>
    </xf>
    <xf numFmtId="0" fontId="2" fillId="0" borderId="0" xfId="115" applyNumberFormat="1" applyFont="1" applyAlignment="1">
      <alignment vertical="top" wrapText="1"/>
    </xf>
    <xf numFmtId="0" fontId="78" fillId="0" borderId="0" xfId="115" applyNumberFormat="1" applyFont="1" applyAlignment="1">
      <alignment vertical="top" wrapText="1"/>
    </xf>
    <xf numFmtId="0" fontId="78" fillId="0" borderId="0" xfId="115" applyNumberFormat="1" applyFont="1" applyFill="1" applyAlignment="1">
      <alignment vertical="top" wrapText="1"/>
    </xf>
    <xf numFmtId="0" fontId="2" fillId="0" borderId="18" xfId="115" applyFont="1" applyBorder="1" applyAlignment="1">
      <alignment horizontal="center" vertical="center" wrapText="1"/>
    </xf>
    <xf numFmtId="0" fontId="47" fillId="0" borderId="0" xfId="0" applyFont="1" applyAlignment="1">
      <alignment horizontal="left" wrapText="1"/>
    </xf>
    <xf numFmtId="0" fontId="78" fillId="0" borderId="0" xfId="0" applyFont="1" applyAlignment="1">
      <alignment horizontal="left" wrapText="1"/>
    </xf>
    <xf numFmtId="0" fontId="78" fillId="0" borderId="0" xfId="0" applyFont="1" applyFill="1" applyAlignment="1">
      <alignment horizontal="left" wrapText="1"/>
    </xf>
    <xf numFmtId="0" fontId="6" fillId="0" borderId="0" xfId="62" applyFont="1" applyAlignment="1">
      <alignment horizontal="center" wrapText="1"/>
    </xf>
    <xf numFmtId="0" fontId="2" fillId="0" borderId="0" xfId="62" applyFont="1" applyAlignment="1">
      <alignment horizontal="left" wrapText="1"/>
    </xf>
    <xf numFmtId="0" fontId="2" fillId="0" borderId="0" xfId="62" applyFont="1" applyAlignment="1">
      <alignment horizontal="left"/>
    </xf>
    <xf numFmtId="0" fontId="78" fillId="0" borderId="0" xfId="62" applyFont="1" applyAlignment="1">
      <alignment horizontal="left"/>
    </xf>
    <xf numFmtId="0" fontId="78" fillId="0" borderId="0" xfId="62" applyFont="1" applyFill="1" applyAlignment="1">
      <alignment horizontal="left"/>
    </xf>
    <xf numFmtId="0" fontId="78" fillId="0" borderId="0" xfId="62" applyFont="1" applyAlignment="1">
      <alignment horizontal="left" wrapText="1"/>
    </xf>
    <xf numFmtId="0" fontId="78" fillId="0" borderId="0" xfId="62" applyFont="1" applyFill="1" applyAlignment="1">
      <alignment horizontal="left" wrapText="1"/>
    </xf>
    <xf numFmtId="0" fontId="47" fillId="0" borderId="0" xfId="0" applyFont="1" applyAlignment="1">
      <alignment horizontal="left" vertical="center" wrapText="1"/>
    </xf>
    <xf numFmtId="0" fontId="78" fillId="0" borderId="0" xfId="0" applyFont="1" applyAlignment="1">
      <alignment horizontal="left" vertical="center" wrapText="1"/>
    </xf>
    <xf numFmtId="0" fontId="78" fillId="0" borderId="0" xfId="0" applyFont="1" applyFill="1" applyAlignment="1">
      <alignment horizontal="left" vertical="center" wrapText="1"/>
    </xf>
    <xf numFmtId="0" fontId="46" fillId="0" borderId="0" xfId="0" applyFont="1" applyAlignment="1">
      <alignment horizontal="left" vertical="center"/>
    </xf>
    <xf numFmtId="0" fontId="108" fillId="0" borderId="0" xfId="0" applyFont="1" applyAlignment="1">
      <alignment horizontal="left" vertical="center"/>
    </xf>
    <xf numFmtId="0" fontId="108" fillId="0" borderId="0" xfId="0" applyFont="1" applyFill="1" applyAlignment="1">
      <alignment horizontal="left" vertical="center"/>
    </xf>
    <xf numFmtId="0" fontId="2" fillId="0" borderId="0" xfId="0" applyFont="1" applyAlignment="1">
      <alignment horizontal="left" wrapText="1"/>
    </xf>
    <xf numFmtId="0" fontId="2" fillId="0" borderId="0" xfId="62" applyFont="1" applyAlignment="1">
      <alignment wrapText="1"/>
    </xf>
    <xf numFmtId="0" fontId="78" fillId="0" borderId="0" xfId="62" applyFont="1" applyAlignment="1">
      <alignment wrapText="1"/>
    </xf>
    <xf numFmtId="0" fontId="78" fillId="0" borderId="0" xfId="62" applyFont="1" applyFill="1" applyAlignment="1">
      <alignment wrapText="1"/>
    </xf>
    <xf numFmtId="0" fontId="46" fillId="0" borderId="0" xfId="0" applyFont="1" applyAlignment="1">
      <alignment horizontal="left" wrapText="1"/>
    </xf>
    <xf numFmtId="0" fontId="48" fillId="0" borderId="0" xfId="62" applyFont="1" applyAlignment="1">
      <alignment horizontal="left"/>
    </xf>
    <xf numFmtId="0" fontId="49" fillId="0" borderId="0" xfId="0" applyFont="1" applyAlignment="1">
      <alignment horizontal="center" wrapText="1"/>
    </xf>
    <xf numFmtId="0" fontId="48" fillId="0" borderId="1" xfId="116" applyFont="1" applyFill="1" applyBorder="1" applyAlignment="1">
      <alignment horizontal="center" vertical="center" wrapText="1"/>
    </xf>
    <xf numFmtId="0" fontId="48" fillId="0" borderId="5" xfId="116" applyFont="1" applyFill="1" applyBorder="1" applyAlignment="1">
      <alignment horizontal="center" vertical="center" wrapText="1"/>
    </xf>
    <xf numFmtId="0" fontId="6" fillId="0" borderId="0" xfId="116" applyFont="1" applyAlignment="1">
      <alignment horizontal="center" vertical="center"/>
    </xf>
    <xf numFmtId="4" fontId="48" fillId="0" borderId="1" xfId="2" applyNumberFormat="1" applyFont="1" applyFill="1" applyBorder="1" applyAlignment="1">
      <alignment horizontal="center" vertical="center" wrapText="1"/>
    </xf>
    <xf numFmtId="4" fontId="48" fillId="0" borderId="5" xfId="120" applyNumberFormat="1" applyFont="1" applyFill="1" applyBorder="1" applyAlignment="1">
      <alignment horizontal="center" vertical="center" wrapText="1"/>
    </xf>
    <xf numFmtId="0" fontId="48" fillId="0" borderId="1" xfId="116" applyFont="1" applyBorder="1" applyAlignment="1">
      <alignment horizontal="center" vertical="center" wrapText="1"/>
    </xf>
    <xf numFmtId="0" fontId="48" fillId="0" borderId="5" xfId="116" applyFont="1" applyBorder="1" applyAlignment="1">
      <alignment horizontal="center" vertical="center" wrapText="1"/>
    </xf>
    <xf numFmtId="0" fontId="6" fillId="0" borderId="1" xfId="116" applyFont="1" applyFill="1" applyBorder="1" applyAlignment="1">
      <alignment horizontal="center" vertical="center" wrapText="1"/>
    </xf>
    <xf numFmtId="0" fontId="6" fillId="0" borderId="5" xfId="116" applyFont="1" applyFill="1" applyBorder="1" applyAlignment="1">
      <alignment horizontal="center" vertical="center" wrapText="1"/>
    </xf>
    <xf numFmtId="0" fontId="50" fillId="0" borderId="0" xfId="0" applyFont="1" applyAlignment="1">
      <alignment horizontal="center" wrapText="1"/>
    </xf>
    <xf numFmtId="0" fontId="55" fillId="0" borderId="0" xfId="0" applyFont="1" applyAlignment="1">
      <alignment horizontal="left" vertical="top" wrapText="1"/>
    </xf>
    <xf numFmtId="0" fontId="9" fillId="0" borderId="0" xfId="0" applyFont="1" applyAlignment="1">
      <alignment horizontal="left" vertical="top" wrapText="1"/>
    </xf>
    <xf numFmtId="0" fontId="88" fillId="0" borderId="0" xfId="0" applyFont="1" applyFill="1" applyAlignment="1">
      <alignment horizontal="left" vertical="center" wrapText="1" indent="7"/>
    </xf>
    <xf numFmtId="0" fontId="46" fillId="0" borderId="0" xfId="0" applyFont="1" applyFill="1" applyAlignment="1">
      <alignment horizontal="left" vertical="center" wrapText="1" indent="7"/>
    </xf>
    <xf numFmtId="0" fontId="46" fillId="0" borderId="0" xfId="0" applyFont="1" applyFill="1" applyAlignment="1">
      <alignment horizontal="left" vertical="top" wrapText="1"/>
    </xf>
    <xf numFmtId="0" fontId="48" fillId="0" borderId="0" xfId="0" applyFont="1" applyFill="1" applyAlignment="1">
      <alignment horizontal="left" vertical="center" wrapText="1" indent="7"/>
    </xf>
    <xf numFmtId="0" fontId="46" fillId="0" borderId="0" xfId="0" applyFont="1" applyAlignment="1">
      <alignment horizontal="left" vertical="center" wrapText="1"/>
    </xf>
    <xf numFmtId="0" fontId="49" fillId="0" borderId="0" xfId="0" applyFont="1" applyAlignment="1">
      <alignment horizontal="left" vertical="center"/>
    </xf>
    <xf numFmtId="0" fontId="108" fillId="0" borderId="0" xfId="0" applyFont="1" applyAlignment="1">
      <alignment horizontal="left" vertical="center" wrapText="1"/>
    </xf>
    <xf numFmtId="0" fontId="83" fillId="0" borderId="0" xfId="0" applyFont="1" applyAlignment="1">
      <alignment vertical="center" wrapText="1"/>
    </xf>
    <xf numFmtId="0" fontId="83" fillId="0" borderId="0" xfId="0" quotePrefix="1" applyFont="1" applyAlignment="1">
      <alignment horizontal="left" vertical="center" wrapText="1"/>
    </xf>
    <xf numFmtId="0" fontId="109" fillId="0" borderId="0" xfId="0" quotePrefix="1" applyFont="1" applyAlignment="1">
      <alignment horizontal="left" vertical="center" wrapText="1"/>
    </xf>
    <xf numFmtId="0" fontId="46" fillId="0" borderId="0" xfId="0" applyFont="1" applyAlignment="1">
      <alignment horizontal="left" vertical="top" wrapText="1"/>
    </xf>
    <xf numFmtId="0" fontId="46" fillId="0" borderId="0" xfId="0" applyFont="1" applyFill="1" applyAlignment="1">
      <alignment horizontal="center" vertical="top" wrapText="1"/>
    </xf>
  </cellXfs>
  <cellStyles count="131">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3" xr:uid="{00000000-0005-0000-0000-000038000000}"/>
    <cellStyle name="Įprastas 11" xfId="124" xr:uid="{00000000-0005-0000-0000-000039000000}"/>
    <cellStyle name="Įprastas 12" xfId="125" xr:uid="{00000000-0005-0000-0000-00003A000000}"/>
    <cellStyle name="Įprastas 13" xfId="126" xr:uid="{00000000-0005-0000-0000-00003B000000}"/>
    <cellStyle name="Įprastas 14" xfId="127" xr:uid="{00000000-0005-0000-0000-00003C000000}"/>
    <cellStyle name="Įprastas 15" xfId="128" xr:uid="{00000000-0005-0000-0000-00003D000000}"/>
    <cellStyle name="Įprastas 16" xfId="129" xr:uid="{00000000-0005-0000-0000-00003E000000}"/>
    <cellStyle name="Įprastas 17" xfId="130" xr:uid="{00000000-0005-0000-0000-00003F000000}"/>
    <cellStyle name="Įprastas 2" xfId="62" xr:uid="{00000000-0005-0000-0000-000040000000}"/>
    <cellStyle name="Įprastas 3" xfId="111" xr:uid="{00000000-0005-0000-0000-000041000000}"/>
    <cellStyle name="Įprastas 4" xfId="112" xr:uid="{00000000-0005-0000-0000-000042000000}"/>
    <cellStyle name="Įprastas 5" xfId="113" xr:uid="{00000000-0005-0000-0000-000043000000}"/>
    <cellStyle name="Įprastas 6" xfId="118" xr:uid="{00000000-0005-0000-0000-000044000000}"/>
    <cellStyle name="Įprastas 7" xfId="119" xr:uid="{00000000-0005-0000-0000-000045000000}"/>
    <cellStyle name="Įprastas 8" xfId="121" xr:uid="{00000000-0005-0000-0000-000046000000}"/>
    <cellStyle name="Įprastas 9" xfId="122" xr:uid="{00000000-0005-0000-0000-000047000000}"/>
    <cellStyle name="Linked Cell" xfId="63" xr:uid="{00000000-0005-0000-0000-000048000000}"/>
    <cellStyle name="Neutral" xfId="64" xr:uid="{00000000-0005-0000-0000-000049000000}"/>
    <cellStyle name="Normal_____3lentelė - 2,3,4 lapai_3_variantas" xfId="65" xr:uid="{00000000-0005-0000-0000-00004A000000}"/>
    <cellStyle name="Normal_2003 metų biudžetas.vasara" xfId="6" xr:uid="{00000000-0005-0000-0000-00004B000000}"/>
    <cellStyle name="Normal_2003_Pensijos.II" xfId="3" xr:uid="{00000000-0005-0000-0000-00004C000000}"/>
    <cellStyle name="Normal_2003_Pensijos.II 2 2" xfId="120" xr:uid="{00000000-0005-0000-0000-00004D000000}"/>
    <cellStyle name="Normal_2011-10-11    3 lenta baltas" xfId="4" xr:uid="{00000000-0005-0000-0000-00004E000000}"/>
    <cellStyle name="Normal_3lentelė - 2,3,4 lapai" xfId="5" xr:uid="{00000000-0005-0000-0000-00004F000000}"/>
    <cellStyle name="Normal_3lentele_1lapas" xfId="2" xr:uid="{00000000-0005-0000-0000-000050000000}"/>
    <cellStyle name="Normal_4 lentelė_2012_09siūloma" xfId="117" xr:uid="{00000000-0005-0000-0000-000051000000}"/>
    <cellStyle name="Normal_5 lentelė  _2010_2lapas_09.28._pataisos" xfId="115" xr:uid="{00000000-0005-0000-0000-000052000000}"/>
    <cellStyle name="Normal_6 lentelė_2012_09siūloma" xfId="116" xr:uid="{00000000-0005-0000-0000-000053000000}"/>
    <cellStyle name="Normal_Sheet1 (2)" xfId="1" xr:uid="{00000000-0005-0000-0000-000054000000}"/>
    <cellStyle name="Note" xfId="66" xr:uid="{00000000-0005-0000-0000-000055000000}"/>
    <cellStyle name="Output" xfId="67" xr:uid="{00000000-0005-0000-0000-000056000000}"/>
    <cellStyle name="Paprastas_Apdraust27" xfId="114" xr:uid="{00000000-0005-0000-0000-000057000000}"/>
    <cellStyle name="SAPBEXaggData" xfId="68" xr:uid="{00000000-0005-0000-0000-000058000000}"/>
    <cellStyle name="SAPBEXaggDataEmph" xfId="69" xr:uid="{00000000-0005-0000-0000-000059000000}"/>
    <cellStyle name="SAPBEXaggItem" xfId="70" xr:uid="{00000000-0005-0000-0000-00005A000000}"/>
    <cellStyle name="SAPBEXaggItemX" xfId="71" xr:uid="{00000000-0005-0000-0000-00005B000000}"/>
    <cellStyle name="SAPBEXchaText" xfId="72" xr:uid="{00000000-0005-0000-0000-00005C000000}"/>
    <cellStyle name="SAPBEXexcBad7" xfId="73" xr:uid="{00000000-0005-0000-0000-00005D000000}"/>
    <cellStyle name="SAPBEXexcBad8" xfId="74" xr:uid="{00000000-0005-0000-0000-00005E000000}"/>
    <cellStyle name="SAPBEXexcBad9" xfId="75" xr:uid="{00000000-0005-0000-0000-00005F000000}"/>
    <cellStyle name="SAPBEXexcCritical4" xfId="76" xr:uid="{00000000-0005-0000-0000-000060000000}"/>
    <cellStyle name="SAPBEXexcCritical5" xfId="77" xr:uid="{00000000-0005-0000-0000-000061000000}"/>
    <cellStyle name="SAPBEXexcCritical6" xfId="78" xr:uid="{00000000-0005-0000-0000-000062000000}"/>
    <cellStyle name="SAPBEXexcGood1" xfId="79" xr:uid="{00000000-0005-0000-0000-000063000000}"/>
    <cellStyle name="SAPBEXexcGood2" xfId="80" xr:uid="{00000000-0005-0000-0000-000064000000}"/>
    <cellStyle name="SAPBEXexcGood3" xfId="81" xr:uid="{00000000-0005-0000-0000-000065000000}"/>
    <cellStyle name="SAPBEXfilterDrill" xfId="82" xr:uid="{00000000-0005-0000-0000-000066000000}"/>
    <cellStyle name="SAPBEXfilterItem" xfId="83" xr:uid="{00000000-0005-0000-0000-000067000000}"/>
    <cellStyle name="SAPBEXfilterText" xfId="84" xr:uid="{00000000-0005-0000-0000-000068000000}"/>
    <cellStyle name="SAPBEXformats" xfId="85" xr:uid="{00000000-0005-0000-0000-000069000000}"/>
    <cellStyle name="SAPBEXheaderItem" xfId="86" xr:uid="{00000000-0005-0000-0000-00006A000000}"/>
    <cellStyle name="SAPBEXheaderText" xfId="87" xr:uid="{00000000-0005-0000-0000-00006B000000}"/>
    <cellStyle name="SAPBEXHLevel0" xfId="88" xr:uid="{00000000-0005-0000-0000-00006C000000}"/>
    <cellStyle name="SAPBEXHLevel0X" xfId="89" xr:uid="{00000000-0005-0000-0000-00006D000000}"/>
    <cellStyle name="SAPBEXHLevel1" xfId="90" xr:uid="{00000000-0005-0000-0000-00006E000000}"/>
    <cellStyle name="SAPBEXHLevel1X" xfId="91" xr:uid="{00000000-0005-0000-0000-00006F000000}"/>
    <cellStyle name="SAPBEXHLevel2" xfId="92" xr:uid="{00000000-0005-0000-0000-000070000000}"/>
    <cellStyle name="SAPBEXHLevel2X" xfId="93" xr:uid="{00000000-0005-0000-0000-000071000000}"/>
    <cellStyle name="SAPBEXHLevel3" xfId="94" xr:uid="{00000000-0005-0000-0000-000072000000}"/>
    <cellStyle name="SAPBEXHLevel3X" xfId="95" xr:uid="{00000000-0005-0000-0000-000073000000}"/>
    <cellStyle name="SAPBEXinputData" xfId="96" xr:uid="{00000000-0005-0000-0000-000074000000}"/>
    <cellStyle name="SAPBEXresData" xfId="97" xr:uid="{00000000-0005-0000-0000-000075000000}"/>
    <cellStyle name="SAPBEXresDataEmph" xfId="98" xr:uid="{00000000-0005-0000-0000-000076000000}"/>
    <cellStyle name="SAPBEXresItem" xfId="99" xr:uid="{00000000-0005-0000-0000-000077000000}"/>
    <cellStyle name="SAPBEXresItemX" xfId="100" xr:uid="{00000000-0005-0000-0000-000078000000}"/>
    <cellStyle name="SAPBEXstdData" xfId="101" xr:uid="{00000000-0005-0000-0000-000079000000}"/>
    <cellStyle name="SAPBEXstdDataEmph" xfId="102" xr:uid="{00000000-0005-0000-0000-00007A000000}"/>
    <cellStyle name="SAPBEXstdItem" xfId="103" xr:uid="{00000000-0005-0000-0000-00007B000000}"/>
    <cellStyle name="SAPBEXstdItemX" xfId="104" xr:uid="{00000000-0005-0000-0000-00007C000000}"/>
    <cellStyle name="SAPBEXtitle" xfId="105" xr:uid="{00000000-0005-0000-0000-00007D000000}"/>
    <cellStyle name="SAPBEXundefined" xfId="106" xr:uid="{00000000-0005-0000-0000-00007E000000}"/>
    <cellStyle name="Sheet Title" xfId="107" xr:uid="{00000000-0005-0000-0000-00007F000000}"/>
    <cellStyle name="Title" xfId="108" xr:uid="{00000000-0005-0000-0000-000080000000}"/>
    <cellStyle name="Total" xfId="109" xr:uid="{00000000-0005-0000-0000-000081000000}"/>
    <cellStyle name="Warning Text" xfId="110" xr:uid="{00000000-0005-0000-0000-00008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9</xdr:row>
      <xdr:rowOff>15091</xdr:rowOff>
    </xdr:from>
    <xdr:to>
      <xdr:col>1</xdr:col>
      <xdr:colOff>2068638</xdr:colOff>
      <xdr:row>9</xdr:row>
      <xdr:rowOff>344078</xdr:rowOff>
    </xdr:to>
    <xdr:pic>
      <xdr:nvPicPr>
        <xdr:cNvPr id="2" name="Paveikslėlis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224891"/>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3"/>
  <dimension ref="A1:H81"/>
  <sheetViews>
    <sheetView zoomScaleNormal="100" workbookViewId="0">
      <pane xSplit="1" ySplit="8" topLeftCell="B64" activePane="bottomRight" state="frozen"/>
      <selection pane="topRight" activeCell="B1" sqref="B1"/>
      <selection pane="bottomLeft" activeCell="A8" sqref="A8"/>
      <selection pane="bottomRight" activeCell="F72" sqref="F72"/>
    </sheetView>
  </sheetViews>
  <sheetFormatPr defaultColWidth="8.90625" defaultRowHeight="13"/>
  <cols>
    <col min="1" max="1" width="45.6328125" style="272" customWidth="1"/>
    <col min="2" max="2" width="9.36328125" style="272" customWidth="1"/>
    <col min="3" max="3" width="8.90625" style="272" customWidth="1"/>
    <col min="4" max="4" width="10.36328125" style="272" customWidth="1"/>
    <col min="5" max="5" width="10.90625" style="272" customWidth="1"/>
    <col min="6" max="6" width="9.453125" style="273" customWidth="1"/>
    <col min="7" max="16384" width="8.90625" style="272"/>
  </cols>
  <sheetData>
    <row r="1" spans="1:8">
      <c r="H1" s="272" t="s">
        <v>69</v>
      </c>
    </row>
    <row r="2" spans="1:8">
      <c r="H2" s="272" t="s">
        <v>20</v>
      </c>
    </row>
    <row r="3" spans="1:8" ht="18" customHeight="1">
      <c r="A3" s="441" t="s">
        <v>70</v>
      </c>
      <c r="B3" s="441"/>
      <c r="C3" s="441"/>
      <c r="D3" s="441"/>
      <c r="E3" s="441"/>
      <c r="F3" s="441"/>
      <c r="G3" s="441"/>
    </row>
    <row r="4" spans="1:8" ht="24" customHeight="1">
      <c r="A4" s="442" t="s">
        <v>402</v>
      </c>
      <c r="B4" s="442"/>
      <c r="C4" s="442"/>
      <c r="D4" s="442"/>
      <c r="E4" s="442"/>
      <c r="F4" s="442"/>
      <c r="G4" s="442"/>
      <c r="H4" s="442"/>
    </row>
    <row r="5" spans="1:8" ht="15.65" customHeight="1">
      <c r="A5" s="443" t="s">
        <v>71</v>
      </c>
      <c r="B5" s="443"/>
      <c r="C5" s="443"/>
      <c r="D5" s="443"/>
      <c r="E5" s="443"/>
      <c r="F5" s="443"/>
      <c r="G5" s="443"/>
    </row>
    <row r="6" spans="1:8" ht="15.65" customHeight="1"/>
    <row r="7" spans="1:8" ht="23.25" customHeight="1">
      <c r="A7" s="312"/>
      <c r="B7" s="303" t="s">
        <v>72</v>
      </c>
      <c r="C7" s="301" t="s">
        <v>136</v>
      </c>
      <c r="D7" s="301" t="s">
        <v>159</v>
      </c>
      <c r="E7" s="301" t="s">
        <v>250</v>
      </c>
      <c r="F7" s="302" t="s">
        <v>337</v>
      </c>
      <c r="G7" s="301" t="s">
        <v>369</v>
      </c>
      <c r="H7" s="301" t="s">
        <v>405</v>
      </c>
    </row>
    <row r="8" spans="1:8" ht="15" customHeight="1">
      <c r="A8" s="311"/>
      <c r="B8" s="300" t="s">
        <v>2</v>
      </c>
      <c r="C8" s="298" t="s">
        <v>73</v>
      </c>
      <c r="D8" s="298" t="s">
        <v>73</v>
      </c>
      <c r="E8" s="298" t="s">
        <v>3</v>
      </c>
      <c r="F8" s="299" t="s">
        <v>74</v>
      </c>
      <c r="G8" s="298" t="s">
        <v>75</v>
      </c>
      <c r="H8" s="298" t="s">
        <v>75</v>
      </c>
    </row>
    <row r="9" spans="1:8" s="287" customFormat="1" ht="21.75" customHeight="1">
      <c r="A9" s="82" t="s">
        <v>76</v>
      </c>
      <c r="D9" s="310"/>
      <c r="E9" s="310"/>
    </row>
    <row r="10" spans="1:8" s="277" customFormat="1" ht="21" customHeight="1">
      <c r="A10" s="83" t="s">
        <v>176</v>
      </c>
      <c r="B10" s="277" t="s">
        <v>5</v>
      </c>
      <c r="C10" s="308">
        <v>1191.1649</v>
      </c>
      <c r="D10" s="308">
        <v>1296.4000000000001</v>
      </c>
      <c r="E10" s="308">
        <v>1417.4</v>
      </c>
      <c r="F10" s="296">
        <v>1475.9</v>
      </c>
      <c r="G10" s="308">
        <v>1542.7</v>
      </c>
      <c r="H10" s="308">
        <v>1619.9</v>
      </c>
    </row>
    <row r="11" spans="1:8" s="277" customFormat="1" ht="17.25" customHeight="1">
      <c r="A11" s="309" t="s">
        <v>340</v>
      </c>
      <c r="B11" s="277" t="s">
        <v>339</v>
      </c>
      <c r="C11" s="308">
        <v>15529.6142</v>
      </c>
      <c r="D11" s="308">
        <v>17216.866127999998</v>
      </c>
      <c r="E11" s="308">
        <v>18295.685808000002</v>
      </c>
      <c r="F11" s="296">
        <v>19242.961308000002</v>
      </c>
      <c r="G11" s="308">
        <v>20294.403624000002</v>
      </c>
      <c r="H11" s="308">
        <v>21417.864227999999</v>
      </c>
    </row>
    <row r="12" spans="1:8" s="277" customFormat="1" ht="13.5" hidden="1" customHeight="1">
      <c r="A12" s="84"/>
      <c r="F12" s="278"/>
    </row>
    <row r="13" spans="1:8" s="277" customFormat="1" ht="22.5" customHeight="1">
      <c r="A13" s="82" t="s">
        <v>77</v>
      </c>
      <c r="F13" s="278"/>
    </row>
    <row r="14" spans="1:8" s="277" customFormat="1" ht="27" customHeight="1">
      <c r="A14" s="85" t="s">
        <v>160</v>
      </c>
      <c r="B14" s="277" t="s">
        <v>210</v>
      </c>
      <c r="C14" s="308">
        <v>1335.5</v>
      </c>
      <c r="D14" s="308">
        <v>1356.2</v>
      </c>
      <c r="E14" s="308">
        <v>1337</v>
      </c>
      <c r="F14" s="296">
        <v>1350.4860922596358</v>
      </c>
      <c r="G14" s="308">
        <v>1362.6049309261289</v>
      </c>
      <c r="H14" s="308">
        <v>1369.5033467824403</v>
      </c>
    </row>
    <row r="15" spans="1:8" s="277" customFormat="1" ht="21" customHeight="1">
      <c r="A15" s="83" t="s">
        <v>257</v>
      </c>
      <c r="B15" s="277" t="s">
        <v>338</v>
      </c>
      <c r="C15" s="291">
        <v>16678.8768036</v>
      </c>
      <c r="D15" s="291">
        <v>18377.136999999999</v>
      </c>
      <c r="E15" s="291">
        <v>19453.624</v>
      </c>
      <c r="F15" s="292">
        <v>20308.348177488202</v>
      </c>
      <c r="G15" s="291">
        <v>21421.016147484363</v>
      </c>
      <c r="H15" s="291">
        <v>22608.593352183547</v>
      </c>
    </row>
    <row r="16" spans="1:8" s="277" customFormat="1" ht="28.5" customHeight="1">
      <c r="A16" s="85" t="s">
        <v>78</v>
      </c>
      <c r="B16" s="277" t="s">
        <v>211</v>
      </c>
      <c r="C16" s="291">
        <v>3002.4</v>
      </c>
      <c r="D16" s="291">
        <v>1478.6</v>
      </c>
      <c r="E16" s="291">
        <v>1500</v>
      </c>
      <c r="F16" s="292">
        <v>1500</v>
      </c>
      <c r="G16" s="291">
        <v>1500</v>
      </c>
      <c r="H16" s="291">
        <v>1500</v>
      </c>
    </row>
    <row r="17" spans="1:8" s="277" customFormat="1" ht="30" customHeight="1">
      <c r="A17" s="85" t="s">
        <v>79</v>
      </c>
      <c r="B17" s="277" t="s">
        <v>210</v>
      </c>
      <c r="C17" s="308">
        <v>9.1170000000000009</v>
      </c>
      <c r="D17" s="308">
        <v>7.8470000000000004</v>
      </c>
      <c r="E17" s="308">
        <v>10</v>
      </c>
      <c r="F17" s="296">
        <v>10</v>
      </c>
      <c r="G17" s="308">
        <v>10</v>
      </c>
      <c r="H17" s="308">
        <v>10</v>
      </c>
    </row>
    <row r="18" spans="1:8" s="277" customFormat="1" ht="30" customHeight="1">
      <c r="A18" s="85" t="s">
        <v>80</v>
      </c>
      <c r="B18" s="277" t="s">
        <v>210</v>
      </c>
      <c r="C18" s="308">
        <v>4.4260000000000002</v>
      </c>
      <c r="D18" s="308">
        <v>3.9340000000000002</v>
      </c>
      <c r="E18" s="308">
        <v>6.0789999999999997</v>
      </c>
      <c r="F18" s="296">
        <v>6.0789999999999997</v>
      </c>
      <c r="G18" s="308">
        <v>6.0789999999999997</v>
      </c>
      <c r="H18" s="308">
        <v>6.0789999999999997</v>
      </c>
    </row>
    <row r="19" spans="1:8" s="277" customFormat="1" ht="19.5" customHeight="1">
      <c r="A19" s="83" t="s">
        <v>81</v>
      </c>
      <c r="B19" s="277" t="s">
        <v>210</v>
      </c>
      <c r="C19" s="308">
        <v>18.795000000000002</v>
      </c>
      <c r="D19" s="308">
        <v>18.641999999999999</v>
      </c>
      <c r="E19" s="308">
        <v>22</v>
      </c>
      <c r="F19" s="296">
        <v>22</v>
      </c>
      <c r="G19" s="308">
        <v>22</v>
      </c>
      <c r="H19" s="308">
        <v>22</v>
      </c>
    </row>
    <row r="20" spans="1:8" s="277" customFormat="1" ht="18.75" customHeight="1">
      <c r="A20" s="83" t="s">
        <v>82</v>
      </c>
      <c r="B20" s="277" t="s">
        <v>210</v>
      </c>
      <c r="C20" s="291">
        <v>3.7360000000000002</v>
      </c>
      <c r="D20" s="291">
        <v>3.4449999999999998</v>
      </c>
      <c r="E20" s="291">
        <v>17</v>
      </c>
      <c r="F20" s="292">
        <v>17</v>
      </c>
      <c r="G20" s="291">
        <v>17</v>
      </c>
      <c r="H20" s="291">
        <v>17</v>
      </c>
    </row>
    <row r="21" spans="1:8" s="277" customFormat="1" ht="27.75" customHeight="1">
      <c r="A21" s="86" t="s">
        <v>258</v>
      </c>
      <c r="B21" s="277" t="s">
        <v>210</v>
      </c>
      <c r="C21" s="291">
        <v>9.0830000000000002</v>
      </c>
      <c r="D21" s="291">
        <v>9.1649999999999991</v>
      </c>
      <c r="E21" s="291">
        <v>10</v>
      </c>
      <c r="F21" s="292">
        <v>10</v>
      </c>
      <c r="G21" s="291">
        <v>10</v>
      </c>
      <c r="H21" s="291">
        <v>10</v>
      </c>
    </row>
    <row r="22" spans="1:8" s="277" customFormat="1" ht="35.25" customHeight="1">
      <c r="A22" s="79" t="s">
        <v>198</v>
      </c>
      <c r="B22" s="277" t="s">
        <v>210</v>
      </c>
      <c r="C22" s="308">
        <v>1.3</v>
      </c>
      <c r="D22" s="308">
        <v>1.3</v>
      </c>
      <c r="E22" s="308">
        <v>1.3</v>
      </c>
      <c r="F22" s="296">
        <v>1.6</v>
      </c>
      <c r="G22" s="308">
        <v>1.6</v>
      </c>
      <c r="H22" s="308">
        <v>1.6</v>
      </c>
    </row>
    <row r="23" spans="1:8" s="277" customFormat="1" ht="29.25" customHeight="1">
      <c r="A23" s="92" t="s">
        <v>173</v>
      </c>
      <c r="B23" s="277" t="s">
        <v>210</v>
      </c>
      <c r="C23" s="308">
        <v>66.611999999999995</v>
      </c>
      <c r="D23" s="308">
        <v>68.650999999999996</v>
      </c>
      <c r="E23" s="308">
        <v>65</v>
      </c>
      <c r="F23" s="296">
        <v>65</v>
      </c>
      <c r="G23" s="308">
        <v>65</v>
      </c>
      <c r="H23" s="308">
        <v>64.25</v>
      </c>
    </row>
    <row r="24" spans="1:8" s="277" customFormat="1" ht="31.5" customHeight="1">
      <c r="A24" s="86" t="s">
        <v>199</v>
      </c>
      <c r="B24" s="277" t="s">
        <v>210</v>
      </c>
      <c r="C24" s="308">
        <v>0.87</v>
      </c>
      <c r="D24" s="308">
        <v>0.89600000000000002</v>
      </c>
      <c r="E24" s="308">
        <v>0.9</v>
      </c>
      <c r="F24" s="296">
        <v>0.9</v>
      </c>
      <c r="G24" s="308">
        <v>0.9</v>
      </c>
      <c r="H24" s="308">
        <v>0.9</v>
      </c>
    </row>
    <row r="25" spans="1:8" s="277" customFormat="1" ht="33" customHeight="1">
      <c r="A25" s="86" t="s">
        <v>83</v>
      </c>
      <c r="B25" s="277" t="s">
        <v>210</v>
      </c>
      <c r="C25" s="308">
        <v>4.1310000000000002</v>
      </c>
      <c r="D25" s="308">
        <v>4.2640000000000002</v>
      </c>
      <c r="E25" s="308">
        <v>12.9</v>
      </c>
      <c r="F25" s="296">
        <v>12.9</v>
      </c>
      <c r="G25" s="308">
        <v>10.8</v>
      </c>
      <c r="H25" s="308">
        <v>9.8000000000000007</v>
      </c>
    </row>
    <row r="26" spans="1:8" s="277" customFormat="1" ht="34.5" customHeight="1">
      <c r="A26" s="86" t="s">
        <v>200</v>
      </c>
      <c r="B26" s="277" t="s">
        <v>210</v>
      </c>
      <c r="C26" s="308">
        <v>3.0950000000000002</v>
      </c>
      <c r="D26" s="308">
        <v>2.7189999999999999</v>
      </c>
      <c r="E26" s="308">
        <v>3</v>
      </c>
      <c r="F26" s="296">
        <v>3</v>
      </c>
      <c r="G26" s="308">
        <v>3</v>
      </c>
      <c r="H26" s="308">
        <v>3</v>
      </c>
    </row>
    <row r="27" spans="1:8" s="277" customFormat="1" ht="34.5" customHeight="1">
      <c r="A27" s="87" t="s">
        <v>137</v>
      </c>
      <c r="B27" s="277" t="s">
        <v>210</v>
      </c>
      <c r="C27" s="308">
        <v>0.35</v>
      </c>
      <c r="D27" s="308">
        <v>0.22600000000000001</v>
      </c>
      <c r="E27" s="308">
        <v>0.4</v>
      </c>
      <c r="F27" s="296">
        <v>0.4</v>
      </c>
      <c r="G27" s="308">
        <v>0.4</v>
      </c>
      <c r="H27" s="308">
        <v>0.4</v>
      </c>
    </row>
    <row r="28" spans="1:8" s="307" customFormat="1" ht="33.75" customHeight="1">
      <c r="A28" s="94" t="s">
        <v>84</v>
      </c>
      <c r="B28" s="277" t="s">
        <v>211</v>
      </c>
      <c r="C28" s="295">
        <v>3627242.7</v>
      </c>
      <c r="D28" s="295">
        <v>307992.10000000003</v>
      </c>
      <c r="E28" s="295">
        <v>324658.15000000002</v>
      </c>
      <c r="F28" s="295">
        <v>344247.15</v>
      </c>
      <c r="G28" s="295">
        <v>359862.15</v>
      </c>
      <c r="H28" s="295">
        <v>376270.15</v>
      </c>
    </row>
    <row r="29" spans="1:8" s="277" customFormat="1" ht="20.25" customHeight="1">
      <c r="A29" s="96" t="s">
        <v>174</v>
      </c>
      <c r="B29" s="277" t="s">
        <v>211</v>
      </c>
      <c r="C29" s="294">
        <v>2895364.5</v>
      </c>
      <c r="D29" s="294">
        <v>3521.5</v>
      </c>
      <c r="E29" s="294">
        <v>0</v>
      </c>
      <c r="F29" s="295">
        <v>0</v>
      </c>
      <c r="G29" s="294">
        <v>0</v>
      </c>
      <c r="H29" s="294">
        <v>0</v>
      </c>
    </row>
    <row r="30" spans="1:8" s="277" customFormat="1" ht="19.5" customHeight="1">
      <c r="A30" s="96" t="s">
        <v>177</v>
      </c>
      <c r="B30" s="277" t="s">
        <v>211</v>
      </c>
      <c r="C30" s="294">
        <v>181363.7</v>
      </c>
      <c r="D30" s="294">
        <v>93.4</v>
      </c>
      <c r="E30" s="294">
        <v>0</v>
      </c>
      <c r="F30" s="295">
        <v>0</v>
      </c>
      <c r="G30" s="294">
        <v>0</v>
      </c>
      <c r="H30" s="294">
        <v>0</v>
      </c>
    </row>
    <row r="31" spans="1:8" s="277" customFormat="1" ht="18.75" customHeight="1">
      <c r="A31" s="89" t="s">
        <v>178</v>
      </c>
      <c r="B31" s="277" t="s">
        <v>211</v>
      </c>
      <c r="C31" s="294">
        <v>285307.90000000002</v>
      </c>
      <c r="D31" s="294">
        <v>487.6</v>
      </c>
      <c r="E31" s="294">
        <v>0</v>
      </c>
      <c r="F31" s="295">
        <v>0</v>
      </c>
      <c r="G31" s="294">
        <v>0</v>
      </c>
      <c r="H31" s="294">
        <v>0</v>
      </c>
    </row>
    <row r="32" spans="1:8" s="277" customFormat="1" ht="18.75" customHeight="1">
      <c r="A32" s="96" t="s">
        <v>179</v>
      </c>
      <c r="B32" s="277" t="s">
        <v>211</v>
      </c>
      <c r="C32" s="294">
        <v>188910.7</v>
      </c>
      <c r="D32" s="294">
        <v>246795.7</v>
      </c>
      <c r="E32" s="294">
        <v>256064</v>
      </c>
      <c r="F32" s="295">
        <v>267503</v>
      </c>
      <c r="G32" s="294">
        <v>281854</v>
      </c>
      <c r="H32" s="294">
        <v>297412</v>
      </c>
    </row>
    <row r="33" spans="1:8" s="277" customFormat="1" ht="26">
      <c r="A33" s="97" t="s">
        <v>180</v>
      </c>
      <c r="B33" s="277" t="s">
        <v>211</v>
      </c>
      <c r="C33" s="294">
        <v>25159.5</v>
      </c>
      <c r="D33" s="294">
        <v>27725.599999999999</v>
      </c>
      <c r="E33" s="294">
        <v>31278.15</v>
      </c>
      <c r="F33" s="295">
        <v>32674.15</v>
      </c>
      <c r="G33" s="294">
        <v>34428.15</v>
      </c>
      <c r="H33" s="294">
        <v>36328.15</v>
      </c>
    </row>
    <row r="34" spans="1:8" s="306" customFormat="1" ht="25.5" customHeight="1">
      <c r="A34" s="97" t="s">
        <v>181</v>
      </c>
      <c r="B34" s="277" t="s">
        <v>211</v>
      </c>
      <c r="C34" s="294">
        <v>49535.199999999997</v>
      </c>
      <c r="D34" s="294">
        <v>28328.5</v>
      </c>
      <c r="E34" s="294">
        <v>36085</v>
      </c>
      <c r="F34" s="295">
        <v>42479</v>
      </c>
      <c r="G34" s="294">
        <v>41989</v>
      </c>
      <c r="H34" s="294">
        <v>40939</v>
      </c>
    </row>
    <row r="35" spans="1:8" s="297" customFormat="1" ht="19.5" customHeight="1">
      <c r="A35" s="97" t="s">
        <v>182</v>
      </c>
      <c r="B35" s="277" t="s">
        <v>211</v>
      </c>
      <c r="C35" s="294">
        <v>46483.7</v>
      </c>
      <c r="D35" s="294">
        <v>24798.7</v>
      </c>
      <c r="E35" s="294">
        <v>31439</v>
      </c>
      <c r="F35" s="295">
        <v>37042</v>
      </c>
      <c r="G35" s="294">
        <v>36669</v>
      </c>
      <c r="H35" s="294">
        <v>35823</v>
      </c>
    </row>
    <row r="36" spans="1:8" s="297" customFormat="1" ht="24.75" customHeight="1">
      <c r="A36" s="97" t="s">
        <v>183</v>
      </c>
      <c r="B36" s="277" t="s">
        <v>211</v>
      </c>
      <c r="C36" s="294">
        <v>3051.5</v>
      </c>
      <c r="D36" s="294">
        <v>3529.7999999999997</v>
      </c>
      <c r="E36" s="294">
        <v>4646</v>
      </c>
      <c r="F36" s="295">
        <v>5437</v>
      </c>
      <c r="G36" s="294">
        <v>5320</v>
      </c>
      <c r="H36" s="294">
        <v>5116</v>
      </c>
    </row>
    <row r="37" spans="1:8" s="297" customFormat="1" ht="33.75" customHeight="1">
      <c r="A37" s="305" t="s">
        <v>184</v>
      </c>
      <c r="B37" s="277" t="s">
        <v>211</v>
      </c>
      <c r="C37" s="291">
        <v>41.3</v>
      </c>
      <c r="D37" s="291">
        <v>36.9</v>
      </c>
      <c r="E37" s="291">
        <v>45</v>
      </c>
      <c r="F37" s="292">
        <v>47</v>
      </c>
      <c r="G37" s="291">
        <v>47</v>
      </c>
      <c r="H37" s="291">
        <v>47</v>
      </c>
    </row>
    <row r="38" spans="1:8" s="297" customFormat="1" ht="35.25" customHeight="1">
      <c r="A38" s="79" t="s">
        <v>185</v>
      </c>
      <c r="B38" s="277" t="s">
        <v>211</v>
      </c>
      <c r="C38" s="291">
        <v>1559.9</v>
      </c>
      <c r="D38" s="291">
        <v>1002.9000000000001</v>
      </c>
      <c r="E38" s="291">
        <v>1186</v>
      </c>
      <c r="F38" s="292">
        <v>1544</v>
      </c>
      <c r="G38" s="291">
        <v>1544</v>
      </c>
      <c r="H38" s="291">
        <v>1544</v>
      </c>
    </row>
    <row r="39" spans="1:8" s="297" customFormat="1" ht="20.25" customHeight="1">
      <c r="A39" s="79" t="s">
        <v>186</v>
      </c>
      <c r="B39" s="277" t="s">
        <v>211</v>
      </c>
      <c r="C39" s="291">
        <v>1360.3</v>
      </c>
      <c r="D39" s="291">
        <v>665.9</v>
      </c>
      <c r="E39" s="291">
        <v>826</v>
      </c>
      <c r="F39" s="292">
        <v>1075</v>
      </c>
      <c r="G39" s="291">
        <v>1075</v>
      </c>
      <c r="H39" s="291">
        <v>1075</v>
      </c>
    </row>
    <row r="40" spans="1:8" s="297" customFormat="1" ht="29.25" customHeight="1">
      <c r="A40" s="79" t="s">
        <v>187</v>
      </c>
      <c r="B40" s="277" t="s">
        <v>211</v>
      </c>
      <c r="C40" s="291">
        <v>72.900000000000006</v>
      </c>
      <c r="D40" s="291">
        <v>189.3</v>
      </c>
      <c r="E40" s="291">
        <v>198</v>
      </c>
      <c r="F40" s="292">
        <v>258</v>
      </c>
      <c r="G40" s="291">
        <v>258</v>
      </c>
      <c r="H40" s="291">
        <v>258</v>
      </c>
    </row>
    <row r="41" spans="1:8" s="297" customFormat="1" ht="38.25" customHeight="1">
      <c r="A41" s="79" t="s">
        <v>188</v>
      </c>
      <c r="B41" s="277" t="s">
        <v>211</v>
      </c>
      <c r="C41" s="291">
        <v>126.7</v>
      </c>
      <c r="D41" s="291">
        <v>147.69999999999999</v>
      </c>
      <c r="E41" s="291">
        <v>162</v>
      </c>
      <c r="F41" s="292">
        <v>211</v>
      </c>
      <c r="G41" s="291">
        <v>211</v>
      </c>
      <c r="H41" s="291">
        <v>211</v>
      </c>
    </row>
    <row r="42" spans="1:8" s="297" customFormat="1" ht="63.75" customHeight="1">
      <c r="A42" s="79"/>
      <c r="B42" s="277"/>
      <c r="C42" s="291"/>
      <c r="D42" s="291"/>
      <c r="E42" s="291"/>
      <c r="F42" s="304"/>
    </row>
    <row r="43" spans="1:8" s="297" customFormat="1" ht="15.75" customHeight="1">
      <c r="A43" s="79"/>
      <c r="B43" s="277"/>
      <c r="C43" s="291"/>
      <c r="D43" s="291"/>
      <c r="E43" s="291"/>
      <c r="F43" s="292"/>
      <c r="G43" s="291"/>
      <c r="H43" s="291" t="s">
        <v>69</v>
      </c>
    </row>
    <row r="44" spans="1:8" s="297" customFormat="1" ht="21.75" customHeight="1">
      <c r="A44" s="79"/>
      <c r="B44" s="277"/>
      <c r="C44" s="291"/>
      <c r="D44" s="291"/>
      <c r="E44" s="291"/>
      <c r="F44" s="292"/>
      <c r="G44" s="291"/>
      <c r="H44" s="291" t="s">
        <v>43</v>
      </c>
    </row>
    <row r="45" spans="1:8" s="297" customFormat="1" ht="18.75" customHeight="1">
      <c r="A45" s="80"/>
      <c r="B45" s="303" t="s">
        <v>72</v>
      </c>
      <c r="C45" s="301" t="s">
        <v>136</v>
      </c>
      <c r="D45" s="301" t="s">
        <v>159</v>
      </c>
      <c r="E45" s="301" t="s">
        <v>250</v>
      </c>
      <c r="F45" s="302" t="s">
        <v>337</v>
      </c>
      <c r="G45" s="301" t="s">
        <v>369</v>
      </c>
      <c r="H45" s="301" t="s">
        <v>405</v>
      </c>
    </row>
    <row r="46" spans="1:8" s="297" customFormat="1" ht="24.75" customHeight="1">
      <c r="A46" s="81"/>
      <c r="B46" s="300" t="s">
        <v>2</v>
      </c>
      <c r="C46" s="298" t="s">
        <v>73</v>
      </c>
      <c r="D46" s="298" t="s">
        <v>73</v>
      </c>
      <c r="E46" s="298" t="s">
        <v>3</v>
      </c>
      <c r="F46" s="299" t="s">
        <v>74</v>
      </c>
      <c r="G46" s="298" t="s">
        <v>75</v>
      </c>
      <c r="H46" s="298" t="s">
        <v>75</v>
      </c>
    </row>
    <row r="47" spans="1:8" s="297" customFormat="1" ht="34.5" customHeight="1">
      <c r="A47" s="94" t="s">
        <v>85</v>
      </c>
      <c r="B47" s="277" t="s">
        <v>211</v>
      </c>
      <c r="C47" s="292">
        <v>388082.5</v>
      </c>
      <c r="D47" s="292">
        <v>2304879</v>
      </c>
      <c r="E47" s="292">
        <v>2448765</v>
      </c>
      <c r="F47" s="292">
        <v>2558051</v>
      </c>
      <c r="G47" s="292">
        <v>2695269</v>
      </c>
      <c r="H47" s="292">
        <v>2844022</v>
      </c>
    </row>
    <row r="48" spans="1:8" s="297" customFormat="1">
      <c r="A48" s="83" t="s">
        <v>189</v>
      </c>
      <c r="B48" s="277" t="s">
        <v>211</v>
      </c>
      <c r="C48" s="291">
        <v>388082.5</v>
      </c>
      <c r="D48" s="291">
        <v>1605712.1</v>
      </c>
      <c r="E48" s="291">
        <v>1706242</v>
      </c>
      <c r="F48" s="292">
        <v>1782380</v>
      </c>
      <c r="G48" s="291">
        <v>1877969</v>
      </c>
      <c r="H48" s="291">
        <v>1981593</v>
      </c>
    </row>
    <row r="49" spans="1:8" s="297" customFormat="1">
      <c r="A49" s="89" t="s">
        <v>336</v>
      </c>
      <c r="B49" s="277"/>
      <c r="C49" s="292"/>
      <c r="D49" s="291">
        <v>384540.2</v>
      </c>
      <c r="E49" s="291">
        <v>408182</v>
      </c>
      <c r="F49" s="292">
        <v>426402</v>
      </c>
      <c r="G49" s="291">
        <v>449298</v>
      </c>
      <c r="H49" s="291">
        <v>474119</v>
      </c>
    </row>
    <row r="50" spans="1:8" s="297" customFormat="1">
      <c r="A50" s="91" t="s">
        <v>335</v>
      </c>
      <c r="B50" s="277"/>
      <c r="C50" s="292"/>
      <c r="D50" s="291">
        <v>314626.7</v>
      </c>
      <c r="E50" s="291">
        <v>334341</v>
      </c>
      <c r="F50" s="292">
        <v>349269</v>
      </c>
      <c r="G50" s="291">
        <v>368002</v>
      </c>
      <c r="H50" s="291">
        <v>388310</v>
      </c>
    </row>
    <row r="51" spans="1:8" s="297" customFormat="1">
      <c r="A51" s="83"/>
      <c r="B51" s="277"/>
      <c r="C51" s="291"/>
      <c r="D51" s="291"/>
      <c r="E51" s="291"/>
      <c r="F51" s="292"/>
      <c r="G51" s="291"/>
      <c r="H51" s="291"/>
    </row>
    <row r="52" spans="1:8" s="282" customFormat="1" ht="28">
      <c r="A52" s="102" t="s">
        <v>86</v>
      </c>
      <c r="B52" s="277" t="s">
        <v>211</v>
      </c>
      <c r="C52" s="292">
        <v>88652.999999999971</v>
      </c>
      <c r="D52" s="292">
        <v>85100.7</v>
      </c>
      <c r="E52" s="292">
        <v>88330</v>
      </c>
      <c r="F52" s="292">
        <v>92385</v>
      </c>
      <c r="G52" s="292">
        <v>95362</v>
      </c>
      <c r="H52" s="292">
        <v>98803</v>
      </c>
    </row>
    <row r="53" spans="1:8" s="278" customFormat="1" ht="24.75" customHeight="1">
      <c r="A53" s="91" t="s">
        <v>190</v>
      </c>
      <c r="B53" s="277" t="s">
        <v>211</v>
      </c>
      <c r="C53" s="291">
        <v>79764.999999999985</v>
      </c>
      <c r="D53" s="291">
        <v>74030.100000000006</v>
      </c>
      <c r="E53" s="291">
        <v>69981</v>
      </c>
      <c r="F53" s="292">
        <v>73213</v>
      </c>
      <c r="G53" s="291">
        <v>75520</v>
      </c>
      <c r="H53" s="291">
        <v>78186</v>
      </c>
    </row>
    <row r="54" spans="1:8" s="278" customFormat="1" ht="15" customHeight="1">
      <c r="A54" s="89" t="s">
        <v>191</v>
      </c>
      <c r="B54" s="277" t="s">
        <v>211</v>
      </c>
      <c r="C54" s="291">
        <v>3372.4</v>
      </c>
      <c r="D54" s="291">
        <v>4523</v>
      </c>
      <c r="E54" s="291">
        <v>9934</v>
      </c>
      <c r="F54" s="292">
        <v>10378</v>
      </c>
      <c r="G54" s="291">
        <v>10747</v>
      </c>
      <c r="H54" s="291">
        <v>11173</v>
      </c>
    </row>
    <row r="55" spans="1:8" s="277" customFormat="1" ht="15.75" customHeight="1">
      <c r="A55" s="91" t="s">
        <v>192</v>
      </c>
      <c r="B55" s="277" t="s">
        <v>211</v>
      </c>
      <c r="C55" s="291">
        <v>5299.4</v>
      </c>
      <c r="D55" s="291">
        <v>6183.2</v>
      </c>
      <c r="E55" s="291">
        <v>7842</v>
      </c>
      <c r="F55" s="292">
        <v>8188</v>
      </c>
      <c r="G55" s="291">
        <v>8489</v>
      </c>
      <c r="H55" s="291">
        <v>8838</v>
      </c>
    </row>
    <row r="56" spans="1:8" s="277" customFormat="1" ht="15.75" customHeight="1">
      <c r="A56" s="91" t="s">
        <v>193</v>
      </c>
      <c r="B56" s="277" t="s">
        <v>211</v>
      </c>
      <c r="C56" s="291">
        <v>216.2</v>
      </c>
      <c r="D56" s="291">
        <v>364.4</v>
      </c>
      <c r="E56" s="291">
        <v>573</v>
      </c>
      <c r="F56" s="292">
        <v>606</v>
      </c>
      <c r="G56" s="291">
        <v>606</v>
      </c>
      <c r="H56" s="291">
        <v>606</v>
      </c>
    </row>
    <row r="57" spans="1:8" s="277" customFormat="1" ht="9" customHeight="1">
      <c r="A57" s="91"/>
      <c r="C57" s="291"/>
      <c r="D57" s="291"/>
      <c r="E57" s="291"/>
      <c r="F57" s="292"/>
      <c r="G57" s="291"/>
      <c r="H57" s="291"/>
    </row>
    <row r="58" spans="1:8" s="277" customFormat="1" ht="32.25" customHeight="1">
      <c r="A58" s="94" t="s">
        <v>175</v>
      </c>
      <c r="B58" s="277" t="s">
        <v>211</v>
      </c>
      <c r="C58" s="296">
        <v>0.2</v>
      </c>
      <c r="D58" s="291">
        <v>-3.1</v>
      </c>
      <c r="E58" s="291">
        <v>1</v>
      </c>
      <c r="F58" s="292">
        <v>1</v>
      </c>
      <c r="G58" s="292">
        <v>1</v>
      </c>
      <c r="H58" s="292">
        <v>1</v>
      </c>
    </row>
    <row r="59" spans="1:8" s="277" customFormat="1" ht="22.5" customHeight="1">
      <c r="A59" s="82" t="s">
        <v>87</v>
      </c>
      <c r="B59" s="277" t="s">
        <v>211</v>
      </c>
      <c r="C59" s="292">
        <v>1183.3999999999999</v>
      </c>
      <c r="D59" s="292">
        <v>1135.5999999999999</v>
      </c>
      <c r="E59" s="292">
        <v>1135</v>
      </c>
      <c r="F59" s="292">
        <v>1135</v>
      </c>
      <c r="G59" s="292">
        <v>1135</v>
      </c>
      <c r="H59" s="292">
        <v>1135</v>
      </c>
    </row>
    <row r="60" spans="1:8" s="293" customFormat="1" ht="14.25" customHeight="1">
      <c r="A60" s="88" t="s">
        <v>194</v>
      </c>
      <c r="B60" s="277" t="s">
        <v>211</v>
      </c>
      <c r="C60" s="294">
        <v>1183.3999999999999</v>
      </c>
      <c r="D60" s="294">
        <v>1135.5999999999999</v>
      </c>
      <c r="E60" s="294">
        <v>1135</v>
      </c>
      <c r="F60" s="295">
        <v>1135</v>
      </c>
      <c r="G60" s="294">
        <v>1135</v>
      </c>
      <c r="H60" s="294">
        <v>1135</v>
      </c>
    </row>
    <row r="61" spans="1:8" s="293" customFormat="1" ht="15.75" customHeight="1">
      <c r="A61" s="88" t="s">
        <v>195</v>
      </c>
      <c r="B61" s="277" t="s">
        <v>211</v>
      </c>
      <c r="C61" s="294">
        <v>1037.5999999999999</v>
      </c>
      <c r="D61" s="294">
        <v>1004.3</v>
      </c>
      <c r="E61" s="294">
        <v>1004</v>
      </c>
      <c r="F61" s="295">
        <v>1004</v>
      </c>
      <c r="G61" s="294">
        <v>1004</v>
      </c>
      <c r="H61" s="294">
        <v>1004</v>
      </c>
    </row>
    <row r="62" spans="1:8" s="293" customFormat="1" ht="14.25" customHeight="1">
      <c r="A62" s="88" t="s">
        <v>196</v>
      </c>
      <c r="B62" s="277" t="s">
        <v>211</v>
      </c>
      <c r="C62" s="294">
        <v>145.80000000000001</v>
      </c>
      <c r="D62" s="294">
        <v>131.30000000000001</v>
      </c>
      <c r="E62" s="294">
        <v>131</v>
      </c>
      <c r="F62" s="295">
        <v>131</v>
      </c>
      <c r="G62" s="294">
        <v>131</v>
      </c>
      <c r="H62" s="294">
        <v>131</v>
      </c>
    </row>
    <row r="63" spans="1:8" s="282" customFormat="1" ht="33" customHeight="1">
      <c r="A63" s="94" t="s">
        <v>161</v>
      </c>
      <c r="B63" s="277" t="s">
        <v>211</v>
      </c>
      <c r="C63" s="292">
        <v>134825.4</v>
      </c>
      <c r="D63" s="292">
        <v>1761594.3</v>
      </c>
      <c r="E63" s="292">
        <v>2072104</v>
      </c>
      <c r="F63" s="292">
        <v>2119123</v>
      </c>
      <c r="G63" s="292">
        <v>2263558</v>
      </c>
      <c r="H63" s="292">
        <v>2401304</v>
      </c>
    </row>
    <row r="64" spans="1:8" s="277" customFormat="1" ht="51.75" customHeight="1">
      <c r="A64" s="93" t="s">
        <v>202</v>
      </c>
      <c r="B64" s="277" t="s">
        <v>211</v>
      </c>
      <c r="C64" s="291">
        <v>134825.4</v>
      </c>
      <c r="D64" s="291">
        <v>1761594.3</v>
      </c>
      <c r="E64" s="291">
        <v>1932104</v>
      </c>
      <c r="F64" s="292">
        <v>2119123</v>
      </c>
      <c r="G64" s="291">
        <v>2263558</v>
      </c>
      <c r="H64" s="291">
        <v>2401304</v>
      </c>
    </row>
    <row r="65" spans="1:8" s="277" customFormat="1" ht="30.75" customHeight="1">
      <c r="A65" s="93" t="s">
        <v>197</v>
      </c>
      <c r="B65" s="277" t="s">
        <v>211</v>
      </c>
      <c r="C65" s="291">
        <v>0</v>
      </c>
      <c r="D65" s="291">
        <v>0</v>
      </c>
      <c r="E65" s="291">
        <v>140000</v>
      </c>
      <c r="F65" s="292">
        <v>0</v>
      </c>
      <c r="G65" s="291">
        <v>0</v>
      </c>
      <c r="H65" s="291">
        <v>0</v>
      </c>
    </row>
    <row r="66" spans="1:8" s="277" customFormat="1" ht="0.75" customHeight="1">
      <c r="A66" s="90"/>
      <c r="C66" s="291"/>
      <c r="D66" s="291"/>
      <c r="E66" s="291"/>
      <c r="F66" s="292"/>
      <c r="G66" s="291"/>
      <c r="H66" s="291"/>
    </row>
    <row r="67" spans="1:8" s="280" customFormat="1" ht="32.25" customHeight="1">
      <c r="A67" s="94" t="s">
        <v>162</v>
      </c>
      <c r="B67" s="277" t="s">
        <v>211</v>
      </c>
      <c r="C67" s="288">
        <v>12511.5</v>
      </c>
      <c r="D67" s="288">
        <v>11386.4</v>
      </c>
      <c r="E67" s="288">
        <v>11844</v>
      </c>
      <c r="F67" s="288">
        <v>12592</v>
      </c>
      <c r="G67" s="288">
        <v>12928</v>
      </c>
      <c r="H67" s="288">
        <v>13217</v>
      </c>
    </row>
    <row r="68" spans="1:8" s="280" customFormat="1" ht="33.75" customHeight="1">
      <c r="A68" s="95" t="s">
        <v>334</v>
      </c>
      <c r="B68" s="277" t="s">
        <v>211</v>
      </c>
      <c r="C68" s="290">
        <v>7830.4</v>
      </c>
      <c r="D68" s="290">
        <v>7197.9</v>
      </c>
      <c r="E68" s="290">
        <v>7644</v>
      </c>
      <c r="F68" s="288">
        <v>8392</v>
      </c>
      <c r="G68" s="290">
        <v>8728</v>
      </c>
      <c r="H68" s="290">
        <v>9017</v>
      </c>
    </row>
    <row r="69" spans="1:8" s="280" customFormat="1" ht="13.5" customHeight="1">
      <c r="A69" s="93" t="s">
        <v>201</v>
      </c>
      <c r="B69" s="277" t="s">
        <v>211</v>
      </c>
      <c r="C69" s="290">
        <v>4681.1000000000004</v>
      </c>
      <c r="D69" s="290">
        <v>4188.5</v>
      </c>
      <c r="E69" s="290">
        <v>4200</v>
      </c>
      <c r="F69" s="288">
        <v>4200</v>
      </c>
      <c r="G69" s="290">
        <v>4200</v>
      </c>
      <c r="H69" s="290">
        <v>4200</v>
      </c>
    </row>
    <row r="70" spans="1:8" s="287" customFormat="1" ht="30.75" customHeight="1">
      <c r="A70" s="94" t="s">
        <v>395</v>
      </c>
      <c r="B70" s="277" t="s">
        <v>211</v>
      </c>
      <c r="C70" s="288">
        <v>60.9</v>
      </c>
      <c r="D70" s="290">
        <v>189.3</v>
      </c>
      <c r="E70" s="290">
        <v>0</v>
      </c>
      <c r="F70" s="288">
        <v>0</v>
      </c>
      <c r="G70" s="288">
        <v>0</v>
      </c>
      <c r="H70" s="288">
        <v>0</v>
      </c>
    </row>
    <row r="71" spans="1:8" s="287" customFormat="1" ht="21" customHeight="1">
      <c r="A71" s="289" t="s">
        <v>396</v>
      </c>
      <c r="B71" s="277" t="s">
        <v>211</v>
      </c>
      <c r="C71" s="288"/>
      <c r="D71" s="288">
        <v>108050.7</v>
      </c>
      <c r="E71" s="288"/>
      <c r="F71" s="288"/>
      <c r="G71" s="288"/>
      <c r="H71" s="288"/>
    </row>
    <row r="72" spans="1:8" s="280" customFormat="1" ht="16.25" customHeight="1">
      <c r="A72" s="103" t="s">
        <v>88</v>
      </c>
      <c r="B72" s="286" t="s">
        <v>211</v>
      </c>
      <c r="C72" s="285">
        <v>4252559.6000000006</v>
      </c>
      <c r="D72" s="285">
        <v>4580325.0000000009</v>
      </c>
      <c r="E72" s="285">
        <v>4946837.1500000004</v>
      </c>
      <c r="F72" s="285">
        <v>5127534.1500000004</v>
      </c>
      <c r="G72" s="285">
        <v>5428115.1500000004</v>
      </c>
      <c r="H72" s="285">
        <v>5734752.1500000004</v>
      </c>
    </row>
    <row r="73" spans="1:8" s="282" customFormat="1" ht="14.25" customHeight="1">
      <c r="A73" s="284"/>
      <c r="B73" s="275"/>
      <c r="D73" s="283"/>
      <c r="E73" s="283"/>
    </row>
    <row r="74" spans="1:8" s="280" customFormat="1" ht="14">
      <c r="A74" s="279"/>
      <c r="B74" s="272"/>
      <c r="D74" s="281"/>
      <c r="E74" s="281"/>
    </row>
    <row r="75" spans="1:8" s="278" customFormat="1" ht="8.25" customHeight="1">
      <c r="A75" s="279"/>
      <c r="B75" s="272"/>
      <c r="D75" s="277"/>
      <c r="E75" s="277"/>
    </row>
    <row r="76" spans="1:8" s="277" customFormat="1" ht="21.65" customHeight="1">
      <c r="A76" s="272"/>
      <c r="B76" s="272"/>
      <c r="F76" s="278"/>
    </row>
    <row r="77" spans="1:8" s="275" customFormat="1" ht="13.5">
      <c r="A77" s="274"/>
      <c r="B77" s="272"/>
      <c r="F77" s="276"/>
    </row>
    <row r="79" spans="1:8">
      <c r="A79" s="274"/>
    </row>
    <row r="80" spans="1:8">
      <c r="A80" s="274"/>
    </row>
    <row r="81" spans="1:1" ht="14.4" customHeight="1">
      <c r="A81" s="274"/>
    </row>
  </sheetData>
  <mergeCells count="3">
    <mergeCell ref="A3:G3"/>
    <mergeCell ref="A4:H4"/>
    <mergeCell ref="A5:G5"/>
  </mergeCells>
  <pageMargins left="0.62992125984251968" right="0.23622047244094491" top="0.23622047244094491" bottom="0.19685039370078741"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4"/>
  <sheetViews>
    <sheetView zoomScale="84" zoomScaleNormal="84" workbookViewId="0">
      <pane xSplit="1" ySplit="6" topLeftCell="B266" activePane="bottomRight" state="frozen"/>
      <selection activeCell="D70" sqref="D70"/>
      <selection pane="topRight" activeCell="D70" sqref="D70"/>
      <selection pane="bottomLeft" activeCell="D70" sqref="D70"/>
      <selection pane="bottomRight" activeCell="E36" sqref="E36"/>
    </sheetView>
  </sheetViews>
  <sheetFormatPr defaultColWidth="9.08984375" defaultRowHeight="13"/>
  <cols>
    <col min="1" max="1" width="46.08984375" style="3" customWidth="1"/>
    <col min="2" max="2" width="10.36328125" style="3" customWidth="1"/>
    <col min="3" max="4" width="10.54296875" style="2" customWidth="1"/>
    <col min="5" max="5" width="10.90625" style="2" customWidth="1"/>
    <col min="6" max="6" width="11.90625" style="2" customWidth="1"/>
    <col min="7" max="7" width="11.36328125" style="3" customWidth="1"/>
    <col min="8" max="8" width="10.6328125" style="3" customWidth="1"/>
    <col min="9" max="9" width="4.90625" style="3" customWidth="1"/>
    <col min="10" max="10" width="13" style="3" hidden="1" customWidth="1"/>
    <col min="11" max="11" width="12.54296875" style="3" hidden="1" customWidth="1"/>
    <col min="12" max="12" width="10.36328125" style="3" hidden="1" customWidth="1"/>
    <col min="13" max="13" width="11.6328125" style="3" hidden="1" customWidth="1"/>
    <col min="14" max="15" width="9.08984375" style="3" hidden="1" customWidth="1"/>
    <col min="16" max="16384" width="9.08984375" style="3"/>
  </cols>
  <sheetData>
    <row r="1" spans="1:13" ht="13.5" customHeight="1">
      <c r="C1" s="231"/>
      <c r="D1" s="231"/>
      <c r="E1" s="231"/>
      <c r="G1" s="30"/>
      <c r="H1" s="30" t="s">
        <v>19</v>
      </c>
    </row>
    <row r="2" spans="1:13" ht="16.5" customHeight="1">
      <c r="A2" s="451" t="s">
        <v>402</v>
      </c>
      <c r="B2" s="451"/>
      <c r="C2" s="451"/>
      <c r="D2" s="451"/>
      <c r="E2" s="451"/>
      <c r="F2" s="451"/>
      <c r="G2" s="451"/>
      <c r="H2" s="30" t="s">
        <v>20</v>
      </c>
    </row>
    <row r="3" spans="1:13" ht="15.75" customHeight="1">
      <c r="A3" s="451" t="s">
        <v>21</v>
      </c>
      <c r="B3" s="451"/>
      <c r="C3" s="451"/>
      <c r="D3" s="451"/>
      <c r="E3" s="451"/>
      <c r="F3" s="451"/>
      <c r="G3" s="451"/>
      <c r="H3" s="340"/>
    </row>
    <row r="4" spans="1:13" ht="15.75" customHeight="1">
      <c r="C4" s="109"/>
      <c r="D4" s="109"/>
      <c r="E4" s="109"/>
      <c r="F4" s="109"/>
      <c r="G4" s="110"/>
      <c r="H4" s="110"/>
    </row>
    <row r="5" spans="1:13" ht="12" customHeight="1">
      <c r="A5" s="232"/>
      <c r="B5" s="448" t="s">
        <v>1</v>
      </c>
      <c r="C5" s="446" t="s">
        <v>345</v>
      </c>
      <c r="D5" s="446" t="s">
        <v>398</v>
      </c>
      <c r="E5" s="446" t="s">
        <v>399</v>
      </c>
      <c r="F5" s="444" t="s">
        <v>400</v>
      </c>
      <c r="G5" s="446" t="s">
        <v>346</v>
      </c>
      <c r="H5" s="446" t="s">
        <v>401</v>
      </c>
    </row>
    <row r="6" spans="1:13" ht="17.25" customHeight="1">
      <c r="A6" s="233"/>
      <c r="B6" s="449" t="s">
        <v>2</v>
      </c>
      <c r="C6" s="450"/>
      <c r="D6" s="450"/>
      <c r="E6" s="450"/>
      <c r="F6" s="445"/>
      <c r="G6" s="447"/>
      <c r="H6" s="447"/>
    </row>
    <row r="7" spans="1:13" ht="14.25" customHeight="1">
      <c r="A7" s="112" t="s">
        <v>301</v>
      </c>
      <c r="B7" s="111"/>
      <c r="C7" s="113"/>
      <c r="D7" s="113"/>
      <c r="E7" s="113"/>
      <c r="F7" s="113"/>
      <c r="G7" s="113"/>
      <c r="H7" s="113"/>
    </row>
    <row r="8" spans="1:13" ht="9" customHeight="1">
      <c r="A8" s="112"/>
      <c r="B8" s="111"/>
      <c r="C8" s="113"/>
      <c r="D8" s="113"/>
      <c r="E8" s="113"/>
      <c r="F8" s="113"/>
      <c r="G8" s="113"/>
      <c r="H8" s="113"/>
    </row>
    <row r="9" spans="1:13">
      <c r="A9" s="218" t="s">
        <v>384</v>
      </c>
      <c r="B9" s="31" t="s">
        <v>5</v>
      </c>
      <c r="C9" s="351">
        <v>152.91999999999999</v>
      </c>
      <c r="D9" s="351">
        <v>164.59</v>
      </c>
      <c r="E9" s="351">
        <v>180.95</v>
      </c>
      <c r="F9" s="352">
        <v>198.29</v>
      </c>
      <c r="G9" s="351">
        <v>212.42</v>
      </c>
      <c r="H9" s="351">
        <v>225.89</v>
      </c>
    </row>
    <row r="10" spans="1:13">
      <c r="A10" s="218" t="s">
        <v>385</v>
      </c>
      <c r="B10" s="31" t="s">
        <v>5</v>
      </c>
      <c r="C10" s="353" t="s">
        <v>213</v>
      </c>
      <c r="D10" s="353" t="s">
        <v>213</v>
      </c>
      <c r="E10" s="353" t="s">
        <v>213</v>
      </c>
      <c r="F10" s="353" t="s">
        <v>213</v>
      </c>
      <c r="G10" s="353" t="s">
        <v>213</v>
      </c>
      <c r="H10" s="353" t="s">
        <v>213</v>
      </c>
    </row>
    <row r="11" spans="1:13" ht="13.65" customHeight="1">
      <c r="A11" s="218" t="s">
        <v>386</v>
      </c>
      <c r="B11" s="31" t="s">
        <v>5</v>
      </c>
      <c r="C11" s="353" t="s">
        <v>213</v>
      </c>
      <c r="D11" s="353" t="s">
        <v>213</v>
      </c>
      <c r="E11" s="353" t="s">
        <v>213</v>
      </c>
      <c r="F11" s="353" t="s">
        <v>213</v>
      </c>
      <c r="G11" s="353" t="s">
        <v>213</v>
      </c>
      <c r="H11" s="353" t="s">
        <v>213</v>
      </c>
    </row>
    <row r="12" spans="1:13" ht="13.65" customHeight="1">
      <c r="A12" s="218" t="s">
        <v>387</v>
      </c>
      <c r="B12" s="31"/>
      <c r="C12" s="354">
        <v>1.0693999999999999</v>
      </c>
      <c r="D12" s="354">
        <v>1.0763</v>
      </c>
      <c r="E12" s="355">
        <v>1.0810999999999999</v>
      </c>
      <c r="F12" s="356">
        <v>1.0958000000000001</v>
      </c>
      <c r="G12" s="355">
        <v>1.0712999999999999</v>
      </c>
      <c r="H12" s="355">
        <v>1.0633999999999999</v>
      </c>
    </row>
    <row r="13" spans="1:13" ht="13.65" customHeight="1">
      <c r="A13" s="218" t="s">
        <v>397</v>
      </c>
      <c r="B13" s="31"/>
      <c r="C13" s="354">
        <v>1.0693999999999999</v>
      </c>
      <c r="D13" s="354">
        <v>1.0763</v>
      </c>
      <c r="E13" s="355">
        <v>1.0993999999999999</v>
      </c>
      <c r="F13" s="356">
        <v>1.0958000000000001</v>
      </c>
      <c r="G13" s="355">
        <v>1.0712999999999999</v>
      </c>
      <c r="H13" s="355">
        <v>1.0633999999999999</v>
      </c>
    </row>
    <row r="14" spans="1:13" ht="12.75" customHeight="1">
      <c r="A14" s="218" t="s">
        <v>388</v>
      </c>
      <c r="B14" s="31"/>
      <c r="C14" s="357">
        <v>1043807</v>
      </c>
      <c r="D14" s="357">
        <v>1036394</v>
      </c>
      <c r="E14" s="357">
        <v>1030470</v>
      </c>
      <c r="F14" s="358">
        <v>1026830</v>
      </c>
      <c r="G14" s="357">
        <v>1021450</v>
      </c>
      <c r="H14" s="357">
        <v>1017150</v>
      </c>
      <c r="J14" s="33"/>
      <c r="K14" s="33"/>
      <c r="L14" s="33"/>
      <c r="M14" s="33"/>
    </row>
    <row r="15" spans="1:13" ht="13.5" customHeight="1">
      <c r="A15" s="218" t="s">
        <v>389</v>
      </c>
      <c r="B15" s="116" t="s">
        <v>22</v>
      </c>
      <c r="C15" s="32">
        <v>41.8</v>
      </c>
      <c r="D15" s="32">
        <v>32.299999999999997</v>
      </c>
      <c r="E15" s="32">
        <v>32.9</v>
      </c>
      <c r="F15" s="359">
        <v>35.1</v>
      </c>
      <c r="G15" s="32">
        <v>36.1</v>
      </c>
      <c r="H15" s="32">
        <v>36.6</v>
      </c>
    </row>
    <row r="16" spans="1:13" ht="14.25" customHeight="1">
      <c r="A16" s="219" t="s">
        <v>390</v>
      </c>
      <c r="B16" s="217"/>
      <c r="C16" s="360"/>
      <c r="D16" s="360"/>
      <c r="E16" s="361"/>
      <c r="F16" s="360"/>
      <c r="G16" s="360"/>
      <c r="H16" s="360"/>
    </row>
    <row r="17" spans="1:18" ht="13.5" customHeight="1">
      <c r="A17" s="219" t="s">
        <v>391</v>
      </c>
      <c r="B17" s="217"/>
      <c r="C17" s="33"/>
      <c r="D17" s="33"/>
      <c r="E17" s="33"/>
      <c r="F17" s="33"/>
      <c r="G17" s="33"/>
      <c r="H17" s="33"/>
    </row>
    <row r="18" spans="1:18" ht="12" customHeight="1">
      <c r="A18" s="117"/>
      <c r="C18" s="362"/>
      <c r="D18" s="362"/>
      <c r="E18" s="362"/>
      <c r="F18" s="362"/>
      <c r="G18" s="362"/>
      <c r="H18" s="362"/>
    </row>
    <row r="19" spans="1:18" ht="15">
      <c r="A19" s="117" t="s">
        <v>219</v>
      </c>
      <c r="B19" s="2" t="s">
        <v>211</v>
      </c>
      <c r="C19" s="363">
        <v>2962333</v>
      </c>
      <c r="D19" s="363">
        <v>3199767</v>
      </c>
      <c r="E19" s="363">
        <v>3485665</v>
      </c>
      <c r="F19" s="363">
        <v>3823062</v>
      </c>
      <c r="G19" s="363">
        <v>4083633</v>
      </c>
      <c r="H19" s="363">
        <v>4332138</v>
      </c>
      <c r="J19" s="33"/>
      <c r="K19" s="33"/>
      <c r="L19" s="33"/>
      <c r="M19" s="33"/>
      <c r="N19" s="33"/>
    </row>
    <row r="20" spans="1:18">
      <c r="B20" s="31"/>
      <c r="C20" s="364"/>
      <c r="D20" s="364"/>
      <c r="E20" s="364"/>
      <c r="F20" s="364"/>
      <c r="G20" s="364"/>
      <c r="H20" s="364"/>
    </row>
    <row r="21" spans="1:18" s="2" customFormat="1">
      <c r="A21" s="2" t="s">
        <v>302</v>
      </c>
      <c r="B21" s="35" t="s">
        <v>212</v>
      </c>
      <c r="C21" s="36">
        <v>2268680</v>
      </c>
      <c r="D21" s="36">
        <v>2530350</v>
      </c>
      <c r="E21" s="36">
        <v>2787882</v>
      </c>
      <c r="F21" s="36">
        <v>3064056</v>
      </c>
      <c r="G21" s="36">
        <v>3284548</v>
      </c>
      <c r="H21" s="36">
        <v>3494443</v>
      </c>
      <c r="I21" s="3"/>
      <c r="J21" s="36">
        <f>J22+F28</f>
        <v>3064056</v>
      </c>
      <c r="K21" s="36">
        <f t="shared" ref="K21:L21" si="0">K22+G28</f>
        <v>3284548</v>
      </c>
      <c r="L21" s="36">
        <f t="shared" si="0"/>
        <v>3494443</v>
      </c>
      <c r="M21" s="36">
        <f t="shared" ref="M21" si="1">M22+I28</f>
        <v>0</v>
      </c>
      <c r="N21" s="36">
        <f>N22+J28</f>
        <v>0</v>
      </c>
      <c r="O21" s="36">
        <f t="shared" ref="O21" si="2">O22+K28</f>
        <v>0</v>
      </c>
      <c r="P21" s="3"/>
      <c r="Q21" s="3"/>
      <c r="R21" s="3"/>
    </row>
    <row r="22" spans="1:18" s="2" customFormat="1">
      <c r="A22" s="3" t="s">
        <v>217</v>
      </c>
      <c r="B22" s="31" t="s">
        <v>212</v>
      </c>
      <c r="C22" s="365">
        <v>2272727</v>
      </c>
      <c r="D22" s="365">
        <v>2530192</v>
      </c>
      <c r="E22" s="365">
        <v>2787868</v>
      </c>
      <c r="F22" s="34">
        <v>3064040</v>
      </c>
      <c r="G22" s="365">
        <v>3284535</v>
      </c>
      <c r="H22" s="365">
        <v>3494431</v>
      </c>
      <c r="I22" s="3"/>
      <c r="J22" s="33">
        <f>ROUND(F24*F25*12/1000,0)</f>
        <v>3064040</v>
      </c>
      <c r="K22" s="33">
        <f t="shared" ref="K22:L22" si="3">ROUND(G24*G25*12/1000,0)</f>
        <v>3284535</v>
      </c>
      <c r="L22" s="33">
        <f t="shared" si="3"/>
        <v>3494431</v>
      </c>
      <c r="M22" s="33">
        <f t="shared" ref="M22" si="4">ROUND(I24*I25*12/1000,0)</f>
        <v>0</v>
      </c>
      <c r="N22" s="33">
        <f t="shared" ref="N22" si="5">ROUND(J24*J25*12/1000,0)</f>
        <v>0</v>
      </c>
      <c r="O22" s="33">
        <f t="shared" ref="O22" si="6">ROUND(K24*K25*12/1000,0)</f>
        <v>0</v>
      </c>
      <c r="P22" s="3"/>
      <c r="Q22" s="3"/>
      <c r="R22" s="3"/>
    </row>
    <row r="23" spans="1:18">
      <c r="A23" s="115" t="s">
        <v>23</v>
      </c>
      <c r="B23" s="31" t="s">
        <v>24</v>
      </c>
      <c r="C23" s="365">
        <v>589343</v>
      </c>
      <c r="D23" s="365">
        <v>607080</v>
      </c>
      <c r="E23" s="365">
        <v>612540</v>
      </c>
      <c r="F23" s="34">
        <v>611500</v>
      </c>
      <c r="G23" s="365">
        <v>610500</v>
      </c>
      <c r="H23" s="365">
        <v>609500</v>
      </c>
    </row>
    <row r="24" spans="1:18">
      <c r="A24" s="115" t="s">
        <v>25</v>
      </c>
      <c r="B24" s="31" t="s">
        <v>2</v>
      </c>
      <c r="C24" s="365">
        <v>593061</v>
      </c>
      <c r="D24" s="365">
        <v>612187</v>
      </c>
      <c r="E24" s="365">
        <v>616583</v>
      </c>
      <c r="F24" s="34">
        <v>615536</v>
      </c>
      <c r="G24" s="365">
        <v>614529</v>
      </c>
      <c r="H24" s="365">
        <v>613523</v>
      </c>
    </row>
    <row r="25" spans="1:18">
      <c r="A25" s="115" t="s">
        <v>204</v>
      </c>
      <c r="B25" s="31" t="s">
        <v>5</v>
      </c>
      <c r="C25" s="118">
        <v>319.35000000000002</v>
      </c>
      <c r="D25" s="118">
        <v>344.42</v>
      </c>
      <c r="E25" s="118">
        <v>376.79</v>
      </c>
      <c r="F25" s="119">
        <v>414.82</v>
      </c>
      <c r="G25" s="118">
        <v>445.4</v>
      </c>
      <c r="H25" s="118">
        <v>474.64</v>
      </c>
    </row>
    <row r="26" spans="1:18">
      <c r="A26" s="115" t="s">
        <v>205</v>
      </c>
      <c r="B26" s="31" t="s">
        <v>5</v>
      </c>
      <c r="C26" s="118">
        <v>337.5</v>
      </c>
      <c r="D26" s="118">
        <v>364.32</v>
      </c>
      <c r="E26" s="118">
        <v>399.4</v>
      </c>
      <c r="F26" s="119">
        <v>439.99</v>
      </c>
      <c r="G26" s="118">
        <v>472.76</v>
      </c>
      <c r="H26" s="118">
        <v>504.13</v>
      </c>
    </row>
    <row r="27" spans="1:18">
      <c r="A27" s="2" t="s">
        <v>303</v>
      </c>
      <c r="B27" s="31" t="s">
        <v>212</v>
      </c>
      <c r="C27" s="365">
        <v>5743</v>
      </c>
      <c r="D27" s="365">
        <v>154</v>
      </c>
      <c r="E27" s="365">
        <v>168</v>
      </c>
      <c r="F27" s="34">
        <v>184</v>
      </c>
      <c r="G27" s="365">
        <v>197</v>
      </c>
      <c r="H27" s="365">
        <v>209</v>
      </c>
    </row>
    <row r="28" spans="1:18">
      <c r="A28" s="2" t="s">
        <v>304</v>
      </c>
      <c r="B28" s="31" t="s">
        <v>212</v>
      </c>
      <c r="C28" s="365">
        <v>-4047</v>
      </c>
      <c r="D28" s="365">
        <v>158</v>
      </c>
      <c r="E28" s="365">
        <v>14</v>
      </c>
      <c r="F28" s="34">
        <v>16</v>
      </c>
      <c r="G28" s="365">
        <v>13</v>
      </c>
      <c r="H28" s="365">
        <v>12</v>
      </c>
    </row>
    <row r="29" spans="1:18" ht="10.5" customHeight="1">
      <c r="A29" s="120"/>
      <c r="B29" s="121"/>
      <c r="C29" s="366"/>
      <c r="D29" s="366"/>
      <c r="E29" s="364"/>
      <c r="F29" s="364"/>
      <c r="G29" s="364"/>
      <c r="H29" s="364"/>
    </row>
    <row r="30" spans="1:18" s="2" customFormat="1" ht="17.25" customHeight="1">
      <c r="A30" s="122" t="s">
        <v>220</v>
      </c>
      <c r="B30" s="35" t="s">
        <v>212</v>
      </c>
      <c r="C30" s="367">
        <v>537844</v>
      </c>
      <c r="D30" s="367">
        <v>506229</v>
      </c>
      <c r="E30" s="367">
        <v>521147</v>
      </c>
      <c r="F30" s="367">
        <v>565169</v>
      </c>
      <c r="G30" s="367">
        <v>594754</v>
      </c>
      <c r="H30" s="367">
        <v>622035</v>
      </c>
      <c r="I30" s="3"/>
      <c r="J30" s="32"/>
      <c r="K30" s="32"/>
      <c r="L30" s="32"/>
      <c r="M30" s="32"/>
      <c r="N30" s="3"/>
      <c r="O30" s="3"/>
      <c r="P30" s="3"/>
      <c r="Q30" s="3"/>
      <c r="R30" s="3"/>
    </row>
    <row r="31" spans="1:18" s="2" customFormat="1" ht="9.75" customHeight="1">
      <c r="A31" s="122" t="s">
        <v>305</v>
      </c>
      <c r="B31" s="35"/>
      <c r="C31" s="367"/>
      <c r="D31" s="367"/>
      <c r="E31" s="367"/>
      <c r="F31" s="367"/>
      <c r="G31" s="367"/>
      <c r="H31" s="367"/>
      <c r="I31" s="3"/>
    </row>
    <row r="32" spans="1:18" ht="14.25" customHeight="1">
      <c r="A32" s="115" t="s">
        <v>306</v>
      </c>
      <c r="B32" s="31" t="s">
        <v>24</v>
      </c>
      <c r="C32" s="365">
        <v>195152</v>
      </c>
      <c r="D32" s="365">
        <v>174217</v>
      </c>
      <c r="E32" s="365">
        <v>165500</v>
      </c>
      <c r="F32" s="34">
        <v>164200</v>
      </c>
      <c r="G32" s="365">
        <v>161700</v>
      </c>
      <c r="H32" s="365">
        <v>159400</v>
      </c>
    </row>
    <row r="33" spans="1:18" ht="12.75" hidden="1" customHeight="1">
      <c r="A33" s="115" t="s">
        <v>25</v>
      </c>
      <c r="B33" s="31" t="s">
        <v>2</v>
      </c>
      <c r="C33" s="365"/>
      <c r="D33" s="365">
        <v>7686</v>
      </c>
      <c r="E33" s="365">
        <v>6961</v>
      </c>
      <c r="F33" s="34"/>
      <c r="G33" s="365"/>
      <c r="H33" s="365"/>
    </row>
    <row r="34" spans="1:18" ht="12.75" hidden="1" customHeight="1">
      <c r="A34" s="115" t="s">
        <v>26</v>
      </c>
      <c r="B34" s="31" t="s">
        <v>5</v>
      </c>
      <c r="C34" s="123"/>
      <c r="D34" s="123">
        <v>562</v>
      </c>
      <c r="E34" s="123"/>
      <c r="F34" s="124"/>
      <c r="G34" s="123"/>
      <c r="H34" s="123"/>
    </row>
    <row r="35" spans="1:18" ht="6.75" customHeight="1">
      <c r="A35" s="125"/>
      <c r="B35" s="126"/>
      <c r="C35" s="368"/>
      <c r="D35" s="368"/>
      <c r="E35" s="368"/>
      <c r="F35" s="368"/>
      <c r="G35" s="368"/>
      <c r="H35" s="368"/>
    </row>
    <row r="36" spans="1:18" s="2" customFormat="1">
      <c r="A36" s="122" t="s">
        <v>221</v>
      </c>
      <c r="B36" s="35" t="s">
        <v>212</v>
      </c>
      <c r="C36" s="34">
        <v>159774</v>
      </c>
      <c r="D36" s="34">
        <v>129460</v>
      </c>
      <c r="E36" s="34">
        <v>122902</v>
      </c>
      <c r="F36" s="34">
        <v>124774</v>
      </c>
      <c r="G36" s="34">
        <v>123061</v>
      </c>
      <c r="H36" s="34">
        <v>120488</v>
      </c>
      <c r="I36" s="3"/>
      <c r="J36" s="33">
        <f>ROUND(F38*F39*12/1000,0)</f>
        <v>124774</v>
      </c>
      <c r="K36" s="33">
        <f t="shared" ref="K36:L36" si="7">ROUND(G38*G39*12/1000,0)</f>
        <v>123061</v>
      </c>
      <c r="L36" s="33">
        <f t="shared" si="7"/>
        <v>120488</v>
      </c>
      <c r="M36" s="2">
        <f>J36-F36</f>
        <v>0</v>
      </c>
      <c r="N36" s="2">
        <f t="shared" ref="N36" si="8">K36-G36</f>
        <v>0</v>
      </c>
      <c r="O36" s="2">
        <f t="shared" ref="O36" si="9">L36-H36</f>
        <v>0</v>
      </c>
      <c r="P36" s="3"/>
      <c r="Q36" s="3"/>
      <c r="R36" s="3"/>
    </row>
    <row r="37" spans="1:18">
      <c r="A37" s="115" t="s">
        <v>27</v>
      </c>
      <c r="B37" s="31" t="s">
        <v>24</v>
      </c>
      <c r="C37" s="365">
        <v>50054</v>
      </c>
      <c r="D37" s="365">
        <v>38754</v>
      </c>
      <c r="E37" s="365">
        <v>34000</v>
      </c>
      <c r="F37" s="34">
        <v>31500</v>
      </c>
      <c r="G37" s="365">
        <v>29000</v>
      </c>
      <c r="H37" s="365">
        <v>26700</v>
      </c>
      <c r="J37" s="33"/>
      <c r="K37" s="33"/>
      <c r="L37" s="33"/>
      <c r="M37" s="33"/>
      <c r="N37" s="33"/>
    </row>
    <row r="38" spans="1:18">
      <c r="A38" s="115" t="s">
        <v>28</v>
      </c>
      <c r="B38" s="31" t="s">
        <v>2</v>
      </c>
      <c r="C38" s="365">
        <v>50166</v>
      </c>
      <c r="D38" s="365">
        <v>38861</v>
      </c>
      <c r="E38" s="365">
        <v>34095</v>
      </c>
      <c r="F38" s="34">
        <v>31588</v>
      </c>
      <c r="G38" s="365">
        <v>29081</v>
      </c>
      <c r="H38" s="365">
        <v>26775</v>
      </c>
    </row>
    <row r="39" spans="1:18" ht="12.75" customHeight="1">
      <c r="A39" s="115" t="s">
        <v>29</v>
      </c>
      <c r="B39" s="31" t="s">
        <v>5</v>
      </c>
      <c r="C39" s="118">
        <v>265.41000000000003</v>
      </c>
      <c r="D39" s="118">
        <v>277.61</v>
      </c>
      <c r="E39" s="118">
        <v>300.39</v>
      </c>
      <c r="F39" s="119">
        <v>329.17</v>
      </c>
      <c r="G39" s="118">
        <v>352.64</v>
      </c>
      <c r="H39" s="118">
        <v>375</v>
      </c>
    </row>
    <row r="40" spans="1:18" ht="8.25" customHeight="1">
      <c r="A40" s="125"/>
      <c r="B40" s="126"/>
      <c r="C40" s="369"/>
      <c r="D40" s="369"/>
      <c r="E40" s="369"/>
      <c r="F40" s="369"/>
      <c r="G40" s="369"/>
      <c r="H40" s="369"/>
    </row>
    <row r="41" spans="1:18" s="2" customFormat="1" ht="12" customHeight="1">
      <c r="A41" s="122" t="s">
        <v>307</v>
      </c>
      <c r="B41" s="35" t="s">
        <v>212</v>
      </c>
      <c r="C41" s="34">
        <v>378070</v>
      </c>
      <c r="D41" s="34">
        <v>376769</v>
      </c>
      <c r="E41" s="34">
        <v>398245</v>
      </c>
      <c r="F41" s="34">
        <v>440395</v>
      </c>
      <c r="G41" s="34">
        <v>471693</v>
      </c>
      <c r="H41" s="34">
        <v>501547</v>
      </c>
      <c r="I41" s="3"/>
      <c r="J41" s="33">
        <f>J43+F48</f>
        <v>440395</v>
      </c>
      <c r="K41" s="33">
        <f>K43+G48</f>
        <v>471690</v>
      </c>
      <c r="L41" s="33">
        <f>L43+H48</f>
        <v>501555</v>
      </c>
      <c r="M41" s="2">
        <f>J41-F41</f>
        <v>0</v>
      </c>
      <c r="N41" s="2">
        <f t="shared" ref="N41" si="10">K41-G41</f>
        <v>-3</v>
      </c>
      <c r="O41" s="2">
        <f t="shared" ref="O41" si="11">L41-H41</f>
        <v>8</v>
      </c>
      <c r="P41" s="3"/>
      <c r="Q41" s="3"/>
      <c r="R41" s="3"/>
    </row>
    <row r="42" spans="1:18" s="2" customFormat="1" ht="12" customHeight="1">
      <c r="A42" s="122" t="s">
        <v>308</v>
      </c>
      <c r="B42" s="35"/>
      <c r="C42" s="34"/>
      <c r="D42" s="34"/>
      <c r="E42" s="34"/>
      <c r="F42" s="34"/>
      <c r="G42" s="34"/>
      <c r="H42" s="34"/>
      <c r="I42" s="3"/>
      <c r="J42" s="33"/>
      <c r="K42" s="33"/>
      <c r="L42" s="33"/>
      <c r="M42" s="33"/>
      <c r="N42" s="33"/>
      <c r="O42" s="3"/>
      <c r="P42" s="3"/>
      <c r="Q42" s="3"/>
      <c r="R42" s="3"/>
    </row>
    <row r="43" spans="1:18" s="2" customFormat="1" ht="12" customHeight="1">
      <c r="A43" s="115" t="s">
        <v>309</v>
      </c>
      <c r="B43" s="31" t="s">
        <v>212</v>
      </c>
      <c r="C43" s="365">
        <v>380863</v>
      </c>
      <c r="D43" s="365">
        <v>377288</v>
      </c>
      <c r="E43" s="365">
        <v>397986</v>
      </c>
      <c r="F43" s="34">
        <v>440098</v>
      </c>
      <c r="G43" s="365">
        <v>471451</v>
      </c>
      <c r="H43" s="365">
        <v>501316</v>
      </c>
      <c r="I43" s="3"/>
      <c r="J43" s="33">
        <f>ROUND(F45*F46*12/1000,0)</f>
        <v>440098</v>
      </c>
      <c r="K43" s="33">
        <f>ROUND(G45*G46*12/1000,0)</f>
        <v>471448</v>
      </c>
      <c r="L43" s="33">
        <f>ROUND(H45*H46*12/1000,0)</f>
        <v>501324</v>
      </c>
      <c r="M43" s="2">
        <f>J43-F43</f>
        <v>0</v>
      </c>
      <c r="N43" s="2">
        <f t="shared" ref="N43" si="12">K43-G43</f>
        <v>-3</v>
      </c>
      <c r="O43" s="2">
        <f t="shared" ref="O43" si="13">L43-H43</f>
        <v>8</v>
      </c>
      <c r="P43" s="3"/>
      <c r="Q43" s="3"/>
      <c r="R43" s="3"/>
    </row>
    <row r="44" spans="1:18">
      <c r="A44" s="115" t="s">
        <v>30</v>
      </c>
      <c r="B44" s="31" t="s">
        <v>24</v>
      </c>
      <c r="C44" s="365">
        <v>145098</v>
      </c>
      <c r="D44" s="365">
        <v>135463</v>
      </c>
      <c r="E44" s="365">
        <v>131500</v>
      </c>
      <c r="F44" s="34">
        <v>132700</v>
      </c>
      <c r="G44" s="365">
        <v>132700</v>
      </c>
      <c r="H44" s="365">
        <v>132700</v>
      </c>
      <c r="J44" s="33"/>
      <c r="K44" s="33"/>
      <c r="L44" s="33"/>
      <c r="M44" s="33"/>
    </row>
    <row r="45" spans="1:18">
      <c r="A45" s="115" t="s">
        <v>31</v>
      </c>
      <c r="B45" s="31" t="s">
        <v>2</v>
      </c>
      <c r="C45" s="365">
        <v>149351</v>
      </c>
      <c r="D45" s="365">
        <v>139340</v>
      </c>
      <c r="E45" s="365">
        <v>135261</v>
      </c>
      <c r="F45" s="34">
        <v>136495</v>
      </c>
      <c r="G45" s="365">
        <v>136495</v>
      </c>
      <c r="H45" s="365">
        <v>136495</v>
      </c>
      <c r="I45" s="34"/>
    </row>
    <row r="46" spans="1:18" ht="13.5" customHeight="1">
      <c r="A46" s="115" t="s">
        <v>310</v>
      </c>
      <c r="B46" s="31" t="s">
        <v>5</v>
      </c>
      <c r="C46" s="118">
        <v>212.51</v>
      </c>
      <c r="D46" s="118">
        <v>225.64</v>
      </c>
      <c r="E46" s="118">
        <v>245.2</v>
      </c>
      <c r="F46" s="119">
        <v>268.69</v>
      </c>
      <c r="G46" s="118">
        <v>287.83</v>
      </c>
      <c r="H46" s="118">
        <v>306.07</v>
      </c>
    </row>
    <row r="47" spans="1:18" ht="13.5" customHeight="1">
      <c r="A47" s="115" t="s">
        <v>311</v>
      </c>
      <c r="B47" s="31" t="s">
        <v>212</v>
      </c>
      <c r="C47" s="370">
        <v>3360</v>
      </c>
      <c r="D47" s="370">
        <v>2841</v>
      </c>
      <c r="E47" s="370">
        <v>3100</v>
      </c>
      <c r="F47" s="371">
        <v>3397</v>
      </c>
      <c r="G47" s="370">
        <v>3639</v>
      </c>
      <c r="H47" s="370">
        <v>3870</v>
      </c>
    </row>
    <row r="48" spans="1:18" ht="13.5" customHeight="1">
      <c r="A48" s="115" t="s">
        <v>312</v>
      </c>
      <c r="B48" s="31" t="s">
        <v>212</v>
      </c>
      <c r="C48" s="370">
        <v>-2793</v>
      </c>
      <c r="D48" s="370">
        <v>-519</v>
      </c>
      <c r="E48" s="370">
        <v>259</v>
      </c>
      <c r="F48" s="371">
        <v>297</v>
      </c>
      <c r="G48" s="370">
        <v>242</v>
      </c>
      <c r="H48" s="370">
        <v>231</v>
      </c>
    </row>
    <row r="49" spans="1:18">
      <c r="A49" s="115"/>
      <c r="B49" s="31"/>
      <c r="C49" s="372"/>
      <c r="D49" s="372"/>
      <c r="E49" s="372"/>
      <c r="F49" s="372"/>
      <c r="G49" s="372"/>
      <c r="H49" s="372"/>
    </row>
    <row r="50" spans="1:18" s="2" customFormat="1">
      <c r="A50" s="127" t="s">
        <v>222</v>
      </c>
      <c r="B50" s="35" t="s">
        <v>212</v>
      </c>
      <c r="C50" s="367">
        <v>110987</v>
      </c>
      <c r="D50" s="367">
        <v>119270</v>
      </c>
      <c r="E50" s="367">
        <v>127423</v>
      </c>
      <c r="F50" s="367">
        <v>138073</v>
      </c>
      <c r="G50" s="367">
        <v>145479</v>
      </c>
      <c r="H50" s="367">
        <v>153321</v>
      </c>
      <c r="I50" s="3"/>
      <c r="J50" s="33"/>
      <c r="K50" s="33"/>
      <c r="L50" s="33"/>
      <c r="M50" s="33"/>
    </row>
    <row r="51" spans="1:18" ht="12" customHeight="1">
      <c r="A51" s="127" t="s">
        <v>313</v>
      </c>
      <c r="B51" s="35"/>
      <c r="C51" s="34"/>
      <c r="D51" s="34"/>
      <c r="E51" s="34"/>
      <c r="F51" s="34"/>
      <c r="G51" s="34"/>
      <c r="H51" s="34"/>
    </row>
    <row r="52" spans="1:18">
      <c r="A52" s="114" t="s">
        <v>32</v>
      </c>
      <c r="B52" s="31" t="s">
        <v>24</v>
      </c>
      <c r="C52" s="365">
        <v>247600</v>
      </c>
      <c r="D52" s="365">
        <v>244569</v>
      </c>
      <c r="E52" s="365">
        <v>241880</v>
      </c>
      <c r="F52" s="34">
        <v>240430</v>
      </c>
      <c r="G52" s="365">
        <v>238790</v>
      </c>
      <c r="H52" s="365">
        <v>237850</v>
      </c>
    </row>
    <row r="53" spans="1:18">
      <c r="A53" s="114" t="s">
        <v>33</v>
      </c>
      <c r="C53" s="33"/>
      <c r="D53" s="33"/>
      <c r="E53" s="33"/>
      <c r="F53" s="36"/>
      <c r="G53" s="33"/>
      <c r="H53" s="33"/>
    </row>
    <row r="54" spans="1:18" ht="11.25" customHeight="1">
      <c r="A54" s="125"/>
      <c r="B54" s="125"/>
      <c r="C54" s="125"/>
      <c r="D54" s="125"/>
      <c r="E54" s="125"/>
      <c r="F54" s="125"/>
      <c r="G54" s="125"/>
      <c r="H54" s="125"/>
      <c r="J54" s="33"/>
      <c r="K54" s="33"/>
      <c r="L54" s="33"/>
    </row>
    <row r="55" spans="1:18" s="2" customFormat="1">
      <c r="A55" s="122" t="s">
        <v>218</v>
      </c>
      <c r="B55" s="35" t="s">
        <v>212</v>
      </c>
      <c r="C55" s="34">
        <v>3694</v>
      </c>
      <c r="D55" s="34">
        <v>3536</v>
      </c>
      <c r="E55" s="34">
        <v>3510</v>
      </c>
      <c r="F55" s="34">
        <v>3520</v>
      </c>
      <c r="G55" s="34">
        <v>3459</v>
      </c>
      <c r="H55" s="34">
        <v>3343</v>
      </c>
      <c r="I55" s="3"/>
      <c r="J55" s="33">
        <f>ROUND(F57*F58*12/1000,0)</f>
        <v>3520</v>
      </c>
      <c r="K55" s="33">
        <f t="shared" ref="K55:L55" si="14">ROUND(G57*G58*12/1000,0)</f>
        <v>3459</v>
      </c>
      <c r="L55" s="33">
        <f t="shared" si="14"/>
        <v>3343</v>
      </c>
      <c r="M55" s="2">
        <f>J55-F55</f>
        <v>0</v>
      </c>
      <c r="N55" s="2">
        <f t="shared" ref="N55" si="15">K55-G55</f>
        <v>0</v>
      </c>
      <c r="O55" s="2">
        <f t="shared" ref="O55" si="16">L55-H55</f>
        <v>0</v>
      </c>
      <c r="P55" s="3"/>
      <c r="Q55" s="3"/>
      <c r="R55" s="3"/>
    </row>
    <row r="56" spans="1:18">
      <c r="A56" s="115" t="s">
        <v>34</v>
      </c>
      <c r="B56" s="31" t="s">
        <v>24</v>
      </c>
      <c r="C56" s="365">
        <v>1472</v>
      </c>
      <c r="D56" s="365">
        <v>1297</v>
      </c>
      <c r="E56" s="365">
        <v>1180</v>
      </c>
      <c r="F56" s="34">
        <v>1080</v>
      </c>
      <c r="G56" s="365">
        <v>990</v>
      </c>
      <c r="H56" s="365">
        <v>900</v>
      </c>
      <c r="J56" s="33"/>
      <c r="K56" s="33"/>
      <c r="L56" s="33"/>
      <c r="M56" s="33"/>
    </row>
    <row r="57" spans="1:18">
      <c r="A57" s="115" t="s">
        <v>28</v>
      </c>
      <c r="B57" s="31" t="s">
        <v>2</v>
      </c>
      <c r="C57" s="365">
        <v>1482</v>
      </c>
      <c r="D57" s="365">
        <v>1307</v>
      </c>
      <c r="E57" s="365">
        <v>1189</v>
      </c>
      <c r="F57" s="34">
        <v>1088</v>
      </c>
      <c r="G57" s="365">
        <v>998</v>
      </c>
      <c r="H57" s="365">
        <v>907</v>
      </c>
    </row>
    <row r="58" spans="1:18">
      <c r="A58" s="115" t="s">
        <v>35</v>
      </c>
      <c r="B58" s="31" t="s">
        <v>5</v>
      </c>
      <c r="C58" s="118">
        <v>207.78</v>
      </c>
      <c r="D58" s="118">
        <v>225.47</v>
      </c>
      <c r="E58" s="118">
        <v>246.01</v>
      </c>
      <c r="F58" s="119">
        <v>269.58</v>
      </c>
      <c r="G58" s="118">
        <v>288.8</v>
      </c>
      <c r="H58" s="118">
        <v>307.11</v>
      </c>
    </row>
    <row r="59" spans="1:18" ht="12" customHeight="1">
      <c r="B59" s="126"/>
      <c r="C59" s="373"/>
      <c r="D59" s="373"/>
      <c r="E59" s="369"/>
      <c r="F59" s="369"/>
      <c r="G59" s="373"/>
      <c r="H59" s="373"/>
    </row>
    <row r="60" spans="1:18" s="2" customFormat="1">
      <c r="A60" s="127" t="s">
        <v>314</v>
      </c>
      <c r="B60" s="35" t="s">
        <v>212</v>
      </c>
      <c r="C60" s="34">
        <v>47003</v>
      </c>
      <c r="D60" s="34">
        <v>50604</v>
      </c>
      <c r="E60" s="34">
        <v>53506</v>
      </c>
      <c r="F60" s="34">
        <v>57660</v>
      </c>
      <c r="G60" s="34">
        <v>59874</v>
      </c>
      <c r="H60" s="34">
        <v>62774</v>
      </c>
      <c r="I60" s="3"/>
      <c r="J60" s="33">
        <f>J61+F66</f>
        <v>57660</v>
      </c>
      <c r="K60" s="33">
        <f t="shared" ref="K60:L60" si="17">K61+G66</f>
        <v>59874</v>
      </c>
      <c r="L60" s="33">
        <f t="shared" si="17"/>
        <v>62774</v>
      </c>
      <c r="M60" s="2">
        <f>J60-F60</f>
        <v>0</v>
      </c>
      <c r="N60" s="2">
        <f t="shared" ref="N60:N61" si="18">K60-G60</f>
        <v>0</v>
      </c>
      <c r="O60" s="2">
        <f t="shared" ref="O60:O61" si="19">L60-H60</f>
        <v>0</v>
      </c>
      <c r="P60" s="3"/>
      <c r="Q60" s="3"/>
      <c r="R60" s="3"/>
    </row>
    <row r="61" spans="1:18" s="2" customFormat="1">
      <c r="A61" s="114" t="s">
        <v>315</v>
      </c>
      <c r="B61" s="31" t="s">
        <v>212</v>
      </c>
      <c r="C61" s="365">
        <v>47744</v>
      </c>
      <c r="D61" s="365">
        <v>50663</v>
      </c>
      <c r="E61" s="365">
        <v>53463</v>
      </c>
      <c r="F61" s="34">
        <v>57610</v>
      </c>
      <c r="G61" s="365">
        <v>59833</v>
      </c>
      <c r="H61" s="365">
        <v>62735</v>
      </c>
      <c r="I61" s="3"/>
      <c r="J61" s="33">
        <f>ROUND(F63*F64*12/1000,0)</f>
        <v>57610</v>
      </c>
      <c r="K61" s="33">
        <f t="shared" ref="K61" si="20">ROUND(G63*G64*12/1000,0)</f>
        <v>59833</v>
      </c>
      <c r="L61" s="33">
        <f t="shared" ref="L61" si="21">ROUND(H63*H64*12/1000,0)</f>
        <v>62735</v>
      </c>
      <c r="M61" s="2">
        <f>J61-F61</f>
        <v>0</v>
      </c>
      <c r="N61" s="2">
        <f t="shared" si="18"/>
        <v>0</v>
      </c>
      <c r="O61" s="2">
        <f t="shared" si="19"/>
        <v>0</v>
      </c>
      <c r="P61" s="3"/>
      <c r="Q61" s="3"/>
      <c r="R61" s="3"/>
    </row>
    <row r="62" spans="1:18">
      <c r="A62" s="114" t="s">
        <v>36</v>
      </c>
      <c r="B62" s="31" t="s">
        <v>24</v>
      </c>
      <c r="C62" s="365">
        <v>31814</v>
      </c>
      <c r="D62" s="365">
        <v>31241</v>
      </c>
      <c r="E62" s="365">
        <v>30000</v>
      </c>
      <c r="F62" s="34">
        <v>29500</v>
      </c>
      <c r="G62" s="365">
        <v>28600</v>
      </c>
      <c r="H62" s="365">
        <v>28200</v>
      </c>
    </row>
    <row r="63" spans="1:18">
      <c r="A63" s="115" t="s">
        <v>28</v>
      </c>
      <c r="B63" s="31" t="s">
        <v>2</v>
      </c>
      <c r="C63" s="365">
        <v>33812</v>
      </c>
      <c r="D63" s="365">
        <v>33129</v>
      </c>
      <c r="E63" s="365">
        <v>31812</v>
      </c>
      <c r="F63" s="34">
        <v>31282</v>
      </c>
      <c r="G63" s="365">
        <v>30327</v>
      </c>
      <c r="H63" s="365">
        <v>29903</v>
      </c>
    </row>
    <row r="64" spans="1:18">
      <c r="A64" s="114" t="s">
        <v>35</v>
      </c>
      <c r="B64" s="31" t="s">
        <v>5</v>
      </c>
      <c r="C64" s="123">
        <v>117.67</v>
      </c>
      <c r="D64" s="123">
        <v>127.44</v>
      </c>
      <c r="E64" s="123">
        <v>140.05000000000001</v>
      </c>
      <c r="F64" s="124">
        <v>153.47</v>
      </c>
      <c r="G64" s="123">
        <v>164.41</v>
      </c>
      <c r="H64" s="123">
        <v>174.83</v>
      </c>
    </row>
    <row r="65" spans="1:15">
      <c r="A65" s="115" t="s">
        <v>316</v>
      </c>
      <c r="B65" s="31" t="s">
        <v>212</v>
      </c>
      <c r="C65" s="365">
        <v>540</v>
      </c>
      <c r="D65" s="365">
        <v>481</v>
      </c>
      <c r="E65" s="365">
        <v>524</v>
      </c>
      <c r="F65" s="34">
        <v>574</v>
      </c>
      <c r="G65" s="365">
        <v>615</v>
      </c>
      <c r="H65" s="365">
        <v>654</v>
      </c>
    </row>
    <row r="66" spans="1:15">
      <c r="A66" s="115" t="s">
        <v>317</v>
      </c>
      <c r="B66" s="31" t="s">
        <v>212</v>
      </c>
      <c r="C66" s="365">
        <v>-741</v>
      </c>
      <c r="D66" s="365">
        <v>-59</v>
      </c>
      <c r="E66" s="365">
        <v>43.4</v>
      </c>
      <c r="F66" s="34">
        <v>50</v>
      </c>
      <c r="G66" s="365">
        <v>41</v>
      </c>
      <c r="H66" s="365">
        <v>39</v>
      </c>
    </row>
    <row r="67" spans="1:15" ht="11.25" customHeight="1">
      <c r="C67" s="33"/>
      <c r="D67" s="33"/>
      <c r="E67" s="33"/>
      <c r="F67" s="33"/>
      <c r="G67" s="33"/>
      <c r="H67" s="33"/>
    </row>
    <row r="68" spans="1:15">
      <c r="A68" s="127" t="s">
        <v>318</v>
      </c>
      <c r="B68" s="35" t="s">
        <v>212</v>
      </c>
      <c r="C68" s="374">
        <v>60290</v>
      </c>
      <c r="D68" s="374">
        <v>65130</v>
      </c>
      <c r="E68" s="374">
        <v>70406</v>
      </c>
      <c r="F68" s="374">
        <v>76893</v>
      </c>
      <c r="G68" s="374">
        <v>82146</v>
      </c>
      <c r="H68" s="374">
        <v>87204</v>
      </c>
      <c r="J68" s="33"/>
      <c r="K68" s="33"/>
      <c r="L68" s="33"/>
      <c r="M68" s="33"/>
      <c r="N68" s="33"/>
    </row>
    <row r="69" spans="1:15">
      <c r="A69" s="114" t="s">
        <v>37</v>
      </c>
      <c r="B69" s="31" t="s">
        <v>24</v>
      </c>
      <c r="C69" s="375">
        <v>214314</v>
      </c>
      <c r="D69" s="375">
        <v>212031</v>
      </c>
      <c r="E69" s="375">
        <v>210700</v>
      </c>
      <c r="F69" s="374">
        <v>209850</v>
      </c>
      <c r="G69" s="375">
        <v>209200</v>
      </c>
      <c r="H69" s="375">
        <v>208750</v>
      </c>
      <c r="J69" s="33"/>
      <c r="K69" s="33"/>
      <c r="L69" s="33"/>
      <c r="M69" s="33"/>
    </row>
    <row r="70" spans="1:15">
      <c r="A70" s="114"/>
      <c r="B70" s="31"/>
      <c r="C70" s="375"/>
      <c r="D70" s="375"/>
      <c r="E70" s="375"/>
      <c r="F70" s="375"/>
      <c r="G70" s="375"/>
      <c r="H70" s="375"/>
    </row>
    <row r="71" spans="1:15">
      <c r="A71" s="127" t="s">
        <v>319</v>
      </c>
      <c r="B71" s="35" t="s">
        <v>212</v>
      </c>
      <c r="C71" s="374">
        <v>47542</v>
      </c>
      <c r="D71" s="374">
        <v>51269</v>
      </c>
      <c r="E71" s="374">
        <v>57312</v>
      </c>
      <c r="F71" s="374">
        <v>63551</v>
      </c>
      <c r="G71" s="374">
        <v>68854</v>
      </c>
      <c r="H71" s="374">
        <v>74055</v>
      </c>
      <c r="J71" s="33">
        <f>J73+F78</f>
        <v>63551</v>
      </c>
      <c r="K71" s="33">
        <f>K73+G78</f>
        <v>68854</v>
      </c>
      <c r="L71" s="33">
        <f t="shared" ref="L71" si="22">L73+H78</f>
        <v>74055</v>
      </c>
      <c r="M71" s="2">
        <f>J71-F71</f>
        <v>0</v>
      </c>
      <c r="N71" s="2">
        <f t="shared" ref="N71" si="23">K71-G71</f>
        <v>0</v>
      </c>
      <c r="O71" s="2">
        <f t="shared" ref="O71" si="24">L71-H71</f>
        <v>0</v>
      </c>
    </row>
    <row r="72" spans="1:15">
      <c r="A72" s="127" t="s">
        <v>320</v>
      </c>
      <c r="B72" s="35"/>
      <c r="C72" s="374"/>
      <c r="D72" s="374"/>
      <c r="E72" s="374"/>
      <c r="F72" s="374"/>
      <c r="G72" s="374"/>
      <c r="H72" s="374"/>
      <c r="J72" s="33"/>
      <c r="K72" s="33"/>
      <c r="L72" s="33"/>
      <c r="M72" s="33"/>
      <c r="N72" s="33"/>
    </row>
    <row r="73" spans="1:15">
      <c r="A73" s="114" t="s">
        <v>321</v>
      </c>
      <c r="B73" s="31" t="s">
        <v>212</v>
      </c>
      <c r="C73" s="375">
        <v>48156</v>
      </c>
      <c r="D73" s="375">
        <v>51330</v>
      </c>
      <c r="E73" s="375">
        <v>57278</v>
      </c>
      <c r="F73" s="374">
        <v>63512</v>
      </c>
      <c r="G73" s="375">
        <v>68822</v>
      </c>
      <c r="H73" s="375">
        <v>74024</v>
      </c>
      <c r="J73" s="3">
        <f>ROUND(F75*F76*12/1000,0)</f>
        <v>63512</v>
      </c>
      <c r="K73" s="3">
        <f t="shared" ref="K73" si="25">ROUND(G75*G76*12/1000,0)</f>
        <v>68822</v>
      </c>
      <c r="L73" s="3">
        <f>ROUND(H75*H76*12/1000,0)</f>
        <v>74024</v>
      </c>
      <c r="M73" s="2">
        <f>J73-F73</f>
        <v>0</v>
      </c>
      <c r="N73" s="2">
        <f t="shared" ref="N73" si="26">K73-G73</f>
        <v>0</v>
      </c>
      <c r="O73" s="2">
        <f t="shared" ref="O73" si="27">L73-H73</f>
        <v>0</v>
      </c>
    </row>
    <row r="74" spans="1:15">
      <c r="A74" s="114" t="s">
        <v>37</v>
      </c>
      <c r="B74" s="31" t="s">
        <v>24</v>
      </c>
      <c r="C74" s="375">
        <v>167028</v>
      </c>
      <c r="D74" s="375">
        <v>168261</v>
      </c>
      <c r="E74" s="375">
        <v>170000</v>
      </c>
      <c r="F74" s="374">
        <v>172000</v>
      </c>
      <c r="G74" s="375">
        <v>174000</v>
      </c>
      <c r="H74" s="375">
        <v>176000</v>
      </c>
    </row>
    <row r="75" spans="1:15">
      <c r="A75" s="115" t="s">
        <v>28</v>
      </c>
      <c r="B75" s="31" t="s">
        <v>2</v>
      </c>
      <c r="C75" s="375">
        <v>168628</v>
      </c>
      <c r="D75" s="375">
        <v>169809</v>
      </c>
      <c r="E75" s="375">
        <v>171513</v>
      </c>
      <c r="F75" s="374">
        <v>173531</v>
      </c>
      <c r="G75" s="375">
        <v>175549</v>
      </c>
      <c r="H75" s="375">
        <v>177566</v>
      </c>
    </row>
    <row r="76" spans="1:15">
      <c r="A76" s="114" t="s">
        <v>38</v>
      </c>
      <c r="B76" s="31" t="s">
        <v>5</v>
      </c>
      <c r="C76" s="31">
        <v>23.8</v>
      </c>
      <c r="D76" s="31">
        <v>25.19</v>
      </c>
      <c r="E76" s="31">
        <v>27.83</v>
      </c>
      <c r="F76" s="35">
        <v>30.5</v>
      </c>
      <c r="G76" s="31">
        <v>32.67</v>
      </c>
      <c r="H76" s="31">
        <v>34.74</v>
      </c>
    </row>
    <row r="77" spans="1:15">
      <c r="A77" s="115" t="s">
        <v>322</v>
      </c>
      <c r="B77" s="31" t="s">
        <v>212</v>
      </c>
      <c r="C77" s="375">
        <v>439</v>
      </c>
      <c r="D77" s="375">
        <v>378</v>
      </c>
      <c r="E77" s="375">
        <v>412</v>
      </c>
      <c r="F77" s="374">
        <v>451</v>
      </c>
      <c r="G77" s="375">
        <v>483</v>
      </c>
      <c r="H77" s="375">
        <v>514</v>
      </c>
    </row>
    <row r="78" spans="1:15">
      <c r="A78" s="115" t="s">
        <v>323</v>
      </c>
      <c r="B78" s="31" t="s">
        <v>212</v>
      </c>
      <c r="C78" s="375">
        <v>-614</v>
      </c>
      <c r="D78" s="375">
        <v>-61</v>
      </c>
      <c r="E78" s="375">
        <v>34</v>
      </c>
      <c r="F78" s="374">
        <v>39</v>
      </c>
      <c r="G78" s="375">
        <v>32</v>
      </c>
      <c r="H78" s="375">
        <v>31</v>
      </c>
    </row>
    <row r="79" spans="1:15" ht="9.75" customHeight="1">
      <c r="A79" s="122"/>
      <c r="B79" s="31"/>
      <c r="C79" s="123"/>
      <c r="D79" s="123"/>
      <c r="E79" s="123"/>
      <c r="F79" s="124"/>
      <c r="G79" s="123"/>
      <c r="H79" s="123"/>
    </row>
    <row r="80" spans="1:15">
      <c r="A80" s="127" t="s">
        <v>324</v>
      </c>
      <c r="B80" s="35" t="s">
        <v>212</v>
      </c>
      <c r="C80" s="374">
        <v>12748</v>
      </c>
      <c r="D80" s="374">
        <v>13861</v>
      </c>
      <c r="E80" s="374">
        <v>13094</v>
      </c>
      <c r="F80" s="374">
        <v>13342</v>
      </c>
      <c r="G80" s="374">
        <v>13292</v>
      </c>
      <c r="H80" s="374">
        <v>13149</v>
      </c>
      <c r="J80" s="33">
        <f>ROUND(F82*F83*12/1000,0)</f>
        <v>13342</v>
      </c>
      <c r="K80" s="33">
        <f t="shared" ref="K80" si="28">ROUND(G82*G83*12/1000,0)</f>
        <v>13292</v>
      </c>
      <c r="L80" s="33">
        <f t="shared" ref="L80" si="29">ROUND(H82*H83*12/1000,0)</f>
        <v>13149</v>
      </c>
      <c r="M80" s="2">
        <f>J80-F80</f>
        <v>0</v>
      </c>
      <c r="N80" s="2">
        <f t="shared" ref="N80" si="30">K80-G80</f>
        <v>0</v>
      </c>
      <c r="O80" s="2">
        <f t="shared" ref="O80" si="31">L80-H80</f>
        <v>0</v>
      </c>
    </row>
    <row r="81" spans="1:18">
      <c r="A81" s="114" t="s">
        <v>37</v>
      </c>
      <c r="B81" s="31" t="s">
        <v>24</v>
      </c>
      <c r="C81" s="375">
        <v>47286</v>
      </c>
      <c r="D81" s="375">
        <v>43770</v>
      </c>
      <c r="E81" s="375">
        <v>40700</v>
      </c>
      <c r="F81" s="374">
        <v>37850</v>
      </c>
      <c r="G81" s="375">
        <v>35200</v>
      </c>
      <c r="H81" s="375">
        <v>32750</v>
      </c>
      <c r="J81" s="33"/>
      <c r="K81" s="33"/>
      <c r="L81" s="33"/>
      <c r="M81" s="33"/>
    </row>
    <row r="82" spans="1:18">
      <c r="A82" s="115" t="s">
        <v>28</v>
      </c>
      <c r="B82" s="31" t="s">
        <v>2</v>
      </c>
      <c r="C82" s="375">
        <v>47251</v>
      </c>
      <c r="D82" s="375">
        <v>47790</v>
      </c>
      <c r="E82" s="375">
        <v>41758</v>
      </c>
      <c r="F82" s="374">
        <v>38834</v>
      </c>
      <c r="G82" s="375">
        <v>36115</v>
      </c>
      <c r="H82" s="375">
        <v>33602</v>
      </c>
    </row>
    <row r="83" spans="1:18">
      <c r="A83" s="114" t="s">
        <v>38</v>
      </c>
      <c r="B83" s="31" t="s">
        <v>5</v>
      </c>
      <c r="C83" s="31">
        <v>22.48</v>
      </c>
      <c r="D83" s="31">
        <v>24.17</v>
      </c>
      <c r="E83" s="31">
        <v>26.13</v>
      </c>
      <c r="F83" s="35">
        <v>28.63</v>
      </c>
      <c r="G83" s="31">
        <v>30.67</v>
      </c>
      <c r="H83" s="31">
        <v>32.61</v>
      </c>
    </row>
    <row r="84" spans="1:18">
      <c r="A84" s="114"/>
      <c r="B84" s="31"/>
      <c r="C84" s="31"/>
      <c r="D84" s="31"/>
      <c r="E84" s="31"/>
      <c r="F84" s="35"/>
      <c r="G84" s="31"/>
      <c r="H84" s="31"/>
    </row>
    <row r="85" spans="1:18" s="2" customFormat="1">
      <c r="A85" s="122" t="s">
        <v>223</v>
      </c>
      <c r="B85" s="35" t="s">
        <v>212</v>
      </c>
      <c r="C85" s="367">
        <v>1093</v>
      </c>
      <c r="D85" s="367">
        <v>1100</v>
      </c>
      <c r="E85" s="367">
        <v>1137</v>
      </c>
      <c r="F85" s="367">
        <v>1175</v>
      </c>
      <c r="G85" s="367">
        <v>1183</v>
      </c>
      <c r="H85" s="367">
        <v>1217</v>
      </c>
      <c r="J85" s="33">
        <f>ROUND(F87*F88*12/1000,0)</f>
        <v>1175</v>
      </c>
      <c r="K85" s="33">
        <f t="shared" ref="K85" si="32">ROUND(G87*G88*12/1000,0)</f>
        <v>1183</v>
      </c>
      <c r="L85" s="33">
        <f t="shared" ref="L85" si="33">ROUND(H87*H88*12/1000,0)</f>
        <v>1217</v>
      </c>
      <c r="M85" s="2">
        <f>J85-F85</f>
        <v>0</v>
      </c>
      <c r="N85" s="2">
        <f t="shared" ref="N85" si="34">K85-G85</f>
        <v>0</v>
      </c>
      <c r="O85" s="2">
        <f t="shared" ref="O85" si="35">L85-H85</f>
        <v>0</v>
      </c>
      <c r="P85" s="3"/>
      <c r="Q85" s="3"/>
      <c r="R85" s="3"/>
    </row>
    <row r="86" spans="1:18">
      <c r="A86" s="3" t="s">
        <v>206</v>
      </c>
      <c r="B86" s="31" t="s">
        <v>24</v>
      </c>
      <c r="C86" s="365">
        <v>390</v>
      </c>
      <c r="D86" s="365">
        <v>366</v>
      </c>
      <c r="E86" s="365">
        <v>350</v>
      </c>
      <c r="F86" s="34">
        <v>330</v>
      </c>
      <c r="G86" s="365">
        <v>310</v>
      </c>
      <c r="H86" s="365">
        <v>300</v>
      </c>
      <c r="J86" s="33"/>
      <c r="K86" s="33"/>
      <c r="L86" s="33"/>
      <c r="M86" s="33"/>
    </row>
    <row r="87" spans="1:18" ht="13.5" customHeight="1">
      <c r="A87" s="115" t="s">
        <v>41</v>
      </c>
      <c r="B87" s="31" t="s">
        <v>2</v>
      </c>
      <c r="C87" s="365">
        <v>392</v>
      </c>
      <c r="D87" s="365">
        <v>367</v>
      </c>
      <c r="E87" s="365">
        <v>351</v>
      </c>
      <c r="F87" s="34">
        <v>331</v>
      </c>
      <c r="G87" s="365">
        <v>311</v>
      </c>
      <c r="H87" s="365">
        <v>301</v>
      </c>
    </row>
    <row r="88" spans="1:18">
      <c r="A88" s="115" t="s">
        <v>207</v>
      </c>
      <c r="B88" s="31" t="s">
        <v>5</v>
      </c>
      <c r="C88" s="128">
        <v>232.65</v>
      </c>
      <c r="D88" s="128">
        <v>249.7</v>
      </c>
      <c r="E88" s="128">
        <v>269.94</v>
      </c>
      <c r="F88" s="119">
        <v>295.8</v>
      </c>
      <c r="G88" s="118">
        <v>316.89</v>
      </c>
      <c r="H88" s="118">
        <v>336.98</v>
      </c>
    </row>
    <row r="89" spans="1:18" ht="22.5" customHeight="1">
      <c r="A89" s="115"/>
      <c r="B89" s="31"/>
      <c r="C89" s="128"/>
      <c r="D89" s="128"/>
      <c r="E89" s="128"/>
      <c r="F89" s="119"/>
      <c r="G89" s="118"/>
      <c r="H89" s="118"/>
    </row>
    <row r="90" spans="1:18" ht="14.25" customHeight="1">
      <c r="A90" s="115"/>
      <c r="B90" s="31"/>
      <c r="C90" s="128"/>
      <c r="D90" s="128"/>
      <c r="E90" s="128"/>
      <c r="F90" s="119"/>
      <c r="G90" s="30"/>
      <c r="H90" s="30" t="s">
        <v>19</v>
      </c>
    </row>
    <row r="91" spans="1:18">
      <c r="B91" s="31"/>
      <c r="C91" s="123"/>
      <c r="D91" s="123"/>
      <c r="E91" s="123"/>
      <c r="F91" s="124"/>
      <c r="G91" s="30"/>
      <c r="H91" s="30" t="s">
        <v>43</v>
      </c>
    </row>
    <row r="92" spans="1:18">
      <c r="B92" s="31"/>
      <c r="C92" s="123"/>
      <c r="D92" s="123"/>
      <c r="E92" s="123"/>
      <c r="F92" s="124"/>
      <c r="G92" s="30"/>
      <c r="H92" s="30"/>
    </row>
    <row r="93" spans="1:18" ht="12" customHeight="1">
      <c r="A93" s="232"/>
      <c r="B93" s="448" t="s">
        <v>1</v>
      </c>
      <c r="C93" s="446" t="s">
        <v>345</v>
      </c>
      <c r="D93" s="446" t="s">
        <v>398</v>
      </c>
      <c r="E93" s="446" t="s">
        <v>399</v>
      </c>
      <c r="F93" s="444" t="s">
        <v>400</v>
      </c>
      <c r="G93" s="446" t="s">
        <v>346</v>
      </c>
      <c r="H93" s="446" t="s">
        <v>401</v>
      </c>
    </row>
    <row r="94" spans="1:18" ht="17.25" customHeight="1">
      <c r="A94" s="233"/>
      <c r="B94" s="449" t="s">
        <v>2</v>
      </c>
      <c r="C94" s="450"/>
      <c r="D94" s="450"/>
      <c r="E94" s="450"/>
      <c r="F94" s="445"/>
      <c r="G94" s="447"/>
      <c r="H94" s="447"/>
    </row>
    <row r="95" spans="1:18" ht="9.75" customHeight="1">
      <c r="A95" s="4"/>
      <c r="B95" s="99"/>
      <c r="C95" s="99"/>
      <c r="D95" s="99"/>
      <c r="E95" s="5"/>
      <c r="F95" s="100"/>
      <c r="G95" s="5"/>
      <c r="H95" s="5"/>
    </row>
    <row r="96" spans="1:18" ht="12.5" customHeight="1">
      <c r="A96" s="122" t="s">
        <v>224</v>
      </c>
      <c r="B96" s="35" t="s">
        <v>212</v>
      </c>
      <c r="C96" s="367">
        <v>11655</v>
      </c>
      <c r="D96" s="367">
        <v>11815</v>
      </c>
      <c r="E96" s="367">
        <v>12354</v>
      </c>
      <c r="F96" s="367">
        <v>12758</v>
      </c>
      <c r="G96" s="367">
        <v>12871</v>
      </c>
      <c r="H96" s="367">
        <v>13495</v>
      </c>
      <c r="J96" s="33">
        <f>ROUND(F99*F100*12/1000,0)</f>
        <v>12758</v>
      </c>
      <c r="K96" s="33">
        <f>ROUND(G99*G100*12/1000,0)</f>
        <v>12871</v>
      </c>
      <c r="L96" s="33">
        <f>ROUND(H99*H100*12/1000,0)</f>
        <v>13495</v>
      </c>
      <c r="M96" s="2">
        <f>J96-F96</f>
        <v>0</v>
      </c>
      <c r="N96" s="2">
        <f t="shared" ref="N96:O96" si="36">K96-G96</f>
        <v>0</v>
      </c>
      <c r="O96" s="2">
        <f t="shared" si="36"/>
        <v>0</v>
      </c>
    </row>
    <row r="97" spans="1:15" ht="12.5" customHeight="1">
      <c r="A97" s="115" t="s">
        <v>39</v>
      </c>
      <c r="B97" s="31"/>
      <c r="C97" s="34"/>
      <c r="D97" s="34"/>
      <c r="E97" s="34"/>
      <c r="F97" s="34"/>
      <c r="G97" s="365"/>
      <c r="H97" s="365"/>
    </row>
    <row r="98" spans="1:15" ht="12.5" customHeight="1">
      <c r="A98" s="115" t="s">
        <v>40</v>
      </c>
      <c r="B98" s="31" t="s">
        <v>24</v>
      </c>
      <c r="C98" s="365">
        <v>4465</v>
      </c>
      <c r="D98" s="365">
        <v>4206</v>
      </c>
      <c r="E98" s="365">
        <v>4000</v>
      </c>
      <c r="F98" s="34">
        <v>3770</v>
      </c>
      <c r="G98" s="365">
        <v>3550</v>
      </c>
      <c r="H98" s="365">
        <v>3500</v>
      </c>
      <c r="J98" s="33"/>
      <c r="K98" s="33"/>
      <c r="L98" s="33"/>
      <c r="M98" s="33"/>
    </row>
    <row r="99" spans="1:15">
      <c r="A99" s="115" t="s">
        <v>41</v>
      </c>
      <c r="B99" s="31" t="s">
        <v>2</v>
      </c>
      <c r="C99" s="365">
        <v>4658</v>
      </c>
      <c r="D99" s="365">
        <v>4386</v>
      </c>
      <c r="E99" s="365">
        <v>4171</v>
      </c>
      <c r="F99" s="34">
        <v>3931</v>
      </c>
      <c r="G99" s="365">
        <v>3702</v>
      </c>
      <c r="H99" s="365">
        <v>3650</v>
      </c>
    </row>
    <row r="100" spans="1:15" ht="12.5" customHeight="1">
      <c r="A100" s="3" t="s">
        <v>42</v>
      </c>
      <c r="B100" s="31" t="s">
        <v>5</v>
      </c>
      <c r="C100" s="128">
        <v>208.53</v>
      </c>
      <c r="D100" s="128">
        <v>224.46</v>
      </c>
      <c r="E100" s="128">
        <v>246.82</v>
      </c>
      <c r="F100" s="376">
        <v>270.45999999999998</v>
      </c>
      <c r="G100" s="128">
        <v>289.74</v>
      </c>
      <c r="H100" s="128">
        <v>308.11</v>
      </c>
    </row>
    <row r="101" spans="1:15" ht="13.5" customHeight="1">
      <c r="A101" s="4"/>
      <c r="B101" s="129"/>
      <c r="C101" s="99"/>
      <c r="D101" s="99"/>
      <c r="E101" s="99"/>
      <c r="F101" s="100"/>
      <c r="G101" s="5"/>
      <c r="H101" s="5"/>
    </row>
    <row r="102" spans="1:15">
      <c r="A102" s="122" t="s">
        <v>325</v>
      </c>
      <c r="B102" s="35" t="s">
        <v>212</v>
      </c>
      <c r="C102" s="367">
        <v>21325</v>
      </c>
      <c r="D102" s="367">
        <v>19997</v>
      </c>
      <c r="E102" s="367">
        <v>23226</v>
      </c>
      <c r="F102" s="367">
        <v>28157</v>
      </c>
      <c r="G102" s="367">
        <v>30164</v>
      </c>
      <c r="H102" s="367">
        <v>32077</v>
      </c>
      <c r="J102" s="33">
        <f>ROUND(F104*F105*12/1000,0)</f>
        <v>28157</v>
      </c>
      <c r="K102" s="33">
        <f t="shared" ref="K102" si="37">ROUND(G104*G105*12/1000,0)</f>
        <v>30164</v>
      </c>
      <c r="L102" s="33">
        <f t="shared" ref="L102" si="38">ROUND(H104*H105*12/1000,0)</f>
        <v>32077</v>
      </c>
      <c r="M102" s="2">
        <f>J102-F102</f>
        <v>0</v>
      </c>
      <c r="N102" s="2">
        <f t="shared" ref="N102" si="39">K102-G102</f>
        <v>0</v>
      </c>
      <c r="O102" s="2">
        <f t="shared" ref="O102" si="40">L102-H102</f>
        <v>0</v>
      </c>
    </row>
    <row r="103" spans="1:15">
      <c r="A103" s="3" t="s">
        <v>208</v>
      </c>
      <c r="B103" s="31" t="s">
        <v>24</v>
      </c>
      <c r="C103" s="365">
        <v>6857</v>
      </c>
      <c r="D103" s="365">
        <v>5956</v>
      </c>
      <c r="E103" s="365">
        <v>6200</v>
      </c>
      <c r="F103" s="34">
        <v>6600</v>
      </c>
      <c r="G103" s="365">
        <v>6600</v>
      </c>
      <c r="H103" s="365">
        <v>6600</v>
      </c>
      <c r="J103" s="33"/>
      <c r="K103" s="33"/>
      <c r="L103" s="33"/>
      <c r="M103" s="33"/>
    </row>
    <row r="104" spans="1:15">
      <c r="A104" s="115" t="s">
        <v>41</v>
      </c>
      <c r="B104" s="31" t="s">
        <v>2</v>
      </c>
      <c r="C104" s="365">
        <v>7814</v>
      </c>
      <c r="D104" s="365">
        <v>6645</v>
      </c>
      <c r="E104" s="365">
        <v>6917</v>
      </c>
      <c r="F104" s="34">
        <v>7364</v>
      </c>
      <c r="G104" s="365">
        <v>7364</v>
      </c>
      <c r="H104" s="365">
        <v>7364</v>
      </c>
    </row>
    <row r="105" spans="1:15">
      <c r="A105" s="3" t="s">
        <v>209</v>
      </c>
      <c r="B105" s="31" t="s">
        <v>5</v>
      </c>
      <c r="C105" s="123">
        <v>227.42</v>
      </c>
      <c r="D105" s="123">
        <v>250.78</v>
      </c>
      <c r="E105" s="123">
        <v>279.82</v>
      </c>
      <c r="F105" s="119">
        <v>318.63</v>
      </c>
      <c r="G105" s="118">
        <v>341.35</v>
      </c>
      <c r="H105" s="118">
        <v>362.99</v>
      </c>
    </row>
    <row r="106" spans="1:15">
      <c r="B106" s="31"/>
      <c r="C106" s="34"/>
      <c r="D106" s="34"/>
      <c r="E106" s="34"/>
      <c r="F106" s="34"/>
      <c r="G106" s="365"/>
      <c r="H106" s="365"/>
    </row>
    <row r="107" spans="1:15" ht="13.5" customHeight="1">
      <c r="A107" s="122" t="s">
        <v>326</v>
      </c>
      <c r="B107" s="35" t="s">
        <v>212</v>
      </c>
      <c r="C107" s="367">
        <v>10261</v>
      </c>
      <c r="D107" s="367">
        <v>10843</v>
      </c>
      <c r="E107" s="367">
        <v>12296</v>
      </c>
      <c r="F107" s="367">
        <v>13474</v>
      </c>
      <c r="G107" s="367">
        <v>14434</v>
      </c>
      <c r="H107" s="367">
        <v>15350</v>
      </c>
      <c r="J107" s="33">
        <f>ROUND(F109*F110/1000,0)</f>
        <v>13474</v>
      </c>
      <c r="K107" s="33">
        <f t="shared" ref="K107:L107" si="41">ROUND(G109*G110/1000,0)</f>
        <v>14434</v>
      </c>
      <c r="L107" s="33">
        <f t="shared" si="41"/>
        <v>15350</v>
      </c>
      <c r="M107" s="2">
        <f>J107-F107</f>
        <v>0</v>
      </c>
      <c r="N107" s="2">
        <f t="shared" ref="N107" si="42">K107-G107</f>
        <v>0</v>
      </c>
      <c r="O107" s="2">
        <f t="shared" ref="O107" si="43">L107-H107</f>
        <v>0</v>
      </c>
    </row>
    <row r="108" spans="1:15">
      <c r="A108" s="3" t="s">
        <v>225</v>
      </c>
      <c r="J108" s="33"/>
      <c r="K108" s="33"/>
      <c r="L108" s="33"/>
      <c r="M108" s="33"/>
    </row>
    <row r="109" spans="1:15">
      <c r="A109" s="3" t="s">
        <v>342</v>
      </c>
      <c r="B109" s="31" t="s">
        <v>2</v>
      </c>
      <c r="C109" s="365">
        <v>48344</v>
      </c>
      <c r="D109" s="365">
        <v>47148</v>
      </c>
      <c r="E109" s="365">
        <v>49000</v>
      </c>
      <c r="F109" s="34">
        <v>49000</v>
      </c>
      <c r="G109" s="365">
        <v>49000</v>
      </c>
      <c r="H109" s="365">
        <v>49000</v>
      </c>
    </row>
    <row r="110" spans="1:15" ht="12" customHeight="1">
      <c r="A110" s="3" t="s">
        <v>42</v>
      </c>
      <c r="B110" s="31" t="s">
        <v>5</v>
      </c>
      <c r="C110" s="31">
        <v>212.25</v>
      </c>
      <c r="D110" s="31">
        <v>229.98</v>
      </c>
      <c r="E110" s="31">
        <v>250.93</v>
      </c>
      <c r="F110" s="35">
        <v>274.97000000000003</v>
      </c>
      <c r="G110" s="31">
        <v>294.58</v>
      </c>
      <c r="H110" s="31">
        <v>313.26</v>
      </c>
    </row>
    <row r="111" spans="1:15" ht="12.75" customHeight="1">
      <c r="B111" s="31"/>
    </row>
    <row r="112" spans="1:15">
      <c r="A112" s="122" t="s">
        <v>226</v>
      </c>
      <c r="B112" s="35" t="s">
        <v>212</v>
      </c>
      <c r="C112" s="36">
        <v>488</v>
      </c>
      <c r="D112" s="36">
        <v>163</v>
      </c>
      <c r="E112" s="36">
        <v>200</v>
      </c>
      <c r="F112" s="36">
        <v>200</v>
      </c>
      <c r="G112" s="36">
        <v>200</v>
      </c>
      <c r="H112" s="36">
        <v>200</v>
      </c>
      <c r="J112" s="33"/>
      <c r="K112" s="33"/>
      <c r="L112" s="33"/>
      <c r="M112" s="33"/>
      <c r="N112" s="33"/>
    </row>
    <row r="113" spans="1:13" ht="13.5" customHeight="1">
      <c r="A113" s="3" t="s">
        <v>227</v>
      </c>
      <c r="B113" s="31"/>
      <c r="C113" s="130"/>
      <c r="D113" s="130"/>
      <c r="E113" s="130"/>
      <c r="J113" s="33"/>
      <c r="K113" s="33"/>
      <c r="L113" s="33"/>
      <c r="M113" s="33"/>
    </row>
    <row r="114" spans="1:13" ht="12" customHeight="1">
      <c r="A114" s="4"/>
      <c r="B114" s="162"/>
      <c r="C114" s="99"/>
      <c r="D114" s="99"/>
      <c r="E114" s="99"/>
      <c r="F114" s="100"/>
      <c r="G114" s="5"/>
      <c r="H114" s="5"/>
    </row>
    <row r="115" spans="1:13" s="131" customFormat="1" ht="18.75" customHeight="1">
      <c r="A115" s="234" t="s">
        <v>478</v>
      </c>
      <c r="B115" s="235" t="s">
        <v>212</v>
      </c>
      <c r="C115" s="377">
        <v>305723</v>
      </c>
      <c r="D115" s="377">
        <v>308838</v>
      </c>
      <c r="E115" s="377">
        <v>484507</v>
      </c>
      <c r="F115" s="377">
        <v>347913</v>
      </c>
      <c r="G115" s="377">
        <v>410319</v>
      </c>
      <c r="H115" s="377">
        <v>430386</v>
      </c>
      <c r="I115" s="132"/>
    </row>
    <row r="116" spans="1:13" s="131" customFormat="1">
      <c r="A116" s="205"/>
      <c r="B116" s="206"/>
      <c r="C116" s="236"/>
      <c r="D116" s="236"/>
      <c r="E116" s="236"/>
      <c r="F116" s="236"/>
      <c r="G116" s="236"/>
      <c r="H116" s="236"/>
      <c r="I116" s="132"/>
    </row>
    <row r="117" spans="1:13" s="131" customFormat="1" ht="16.5" customHeight="1">
      <c r="A117" s="237" t="s">
        <v>479</v>
      </c>
      <c r="B117" s="238" t="s">
        <v>212</v>
      </c>
      <c r="C117" s="15">
        <v>305723</v>
      </c>
      <c r="D117" s="15">
        <v>308838</v>
      </c>
      <c r="E117" s="15">
        <v>484507</v>
      </c>
      <c r="F117" s="15">
        <v>347913</v>
      </c>
      <c r="G117" s="15">
        <v>410319</v>
      </c>
      <c r="H117" s="15">
        <v>430386</v>
      </c>
      <c r="I117" s="132"/>
    </row>
    <row r="118" spans="1:13" s="131" customFormat="1" ht="14">
      <c r="A118" s="237" t="s">
        <v>480</v>
      </c>
      <c r="B118" s="206"/>
      <c r="C118" s="239"/>
      <c r="D118" s="239"/>
      <c r="E118" s="239"/>
      <c r="F118" s="239"/>
      <c r="G118" s="239"/>
      <c r="H118" s="239"/>
      <c r="I118" s="132"/>
    </row>
    <row r="119" spans="1:13" s="131" customFormat="1" ht="15.75" customHeight="1">
      <c r="A119" s="240" t="s">
        <v>481</v>
      </c>
      <c r="B119" s="238" t="s">
        <v>212</v>
      </c>
      <c r="C119" s="15">
        <v>305719</v>
      </c>
      <c r="D119" s="15">
        <v>308835</v>
      </c>
      <c r="E119" s="15">
        <v>484505</v>
      </c>
      <c r="F119" s="15">
        <v>347911</v>
      </c>
      <c r="G119" s="15">
        <v>410317</v>
      </c>
      <c r="H119" s="15">
        <v>430384</v>
      </c>
      <c r="I119" s="132"/>
    </row>
    <row r="120" spans="1:13" s="131" customFormat="1" ht="12.75" customHeight="1">
      <c r="A120" s="205" t="s">
        <v>228</v>
      </c>
      <c r="B120" s="207" t="s">
        <v>212</v>
      </c>
      <c r="C120" s="208">
        <v>302899</v>
      </c>
      <c r="D120" s="208">
        <v>311892</v>
      </c>
      <c r="E120" s="208">
        <v>483907</v>
      </c>
      <c r="F120" s="209">
        <v>347619</v>
      </c>
      <c r="G120" s="208">
        <v>409909</v>
      </c>
      <c r="H120" s="208">
        <v>429913</v>
      </c>
      <c r="I120" s="132"/>
    </row>
    <row r="121" spans="1:13" s="131" customFormat="1">
      <c r="A121" s="205" t="s">
        <v>44</v>
      </c>
      <c r="B121" s="241" t="s">
        <v>45</v>
      </c>
      <c r="C121" s="378">
        <v>8.0500000000000007</v>
      </c>
      <c r="D121" s="378">
        <v>7.73</v>
      </c>
      <c r="E121" s="378">
        <v>10.5</v>
      </c>
      <c r="F121" s="379">
        <v>7.2</v>
      </c>
      <c r="G121" s="378">
        <v>8.0500000000000007</v>
      </c>
      <c r="H121" s="378">
        <v>8</v>
      </c>
      <c r="I121" s="132"/>
    </row>
    <row r="122" spans="1:13" s="131" customFormat="1">
      <c r="A122" s="205" t="s">
        <v>46</v>
      </c>
      <c r="B122" s="241" t="s">
        <v>45</v>
      </c>
      <c r="C122" s="380">
        <v>10964342</v>
      </c>
      <c r="D122" s="380">
        <v>10481573</v>
      </c>
      <c r="E122" s="380">
        <v>14038500</v>
      </c>
      <c r="F122" s="381">
        <v>9723600</v>
      </c>
      <c r="G122" s="380">
        <v>10968930</v>
      </c>
      <c r="H122" s="380">
        <v>10956000</v>
      </c>
      <c r="I122" s="132"/>
    </row>
    <row r="123" spans="1:13" s="131" customFormat="1">
      <c r="A123" s="205" t="s">
        <v>157</v>
      </c>
      <c r="B123" s="207" t="s">
        <v>5</v>
      </c>
      <c r="C123" s="378">
        <v>27.63</v>
      </c>
      <c r="D123" s="378">
        <v>29.76</v>
      </c>
      <c r="E123" s="378">
        <v>34.47</v>
      </c>
      <c r="F123" s="379">
        <v>35.75</v>
      </c>
      <c r="G123" s="378">
        <v>37.369999999999997</v>
      </c>
      <c r="H123" s="378">
        <v>39.24</v>
      </c>
      <c r="I123" s="132"/>
    </row>
    <row r="124" spans="1:13" s="131" customFormat="1">
      <c r="A124" s="205" t="s">
        <v>290</v>
      </c>
      <c r="B124" s="207" t="s">
        <v>212</v>
      </c>
      <c r="C124" s="208">
        <v>11157</v>
      </c>
      <c r="D124" s="208">
        <v>8100</v>
      </c>
      <c r="E124" s="208">
        <v>8698</v>
      </c>
      <c r="F124" s="382">
        <v>8990</v>
      </c>
      <c r="G124" s="208">
        <v>9398</v>
      </c>
      <c r="H124" s="208">
        <v>9869</v>
      </c>
      <c r="I124" s="132"/>
    </row>
    <row r="125" spans="1:13" s="131" customFormat="1">
      <c r="A125" s="205" t="s">
        <v>291</v>
      </c>
      <c r="B125" s="207" t="s">
        <v>212</v>
      </c>
      <c r="C125" s="208">
        <v>2820</v>
      </c>
      <c r="D125" s="208">
        <v>-3057</v>
      </c>
      <c r="E125" s="208">
        <v>598</v>
      </c>
      <c r="F125" s="209">
        <v>292</v>
      </c>
      <c r="G125" s="208">
        <v>408</v>
      </c>
      <c r="H125" s="208">
        <v>471</v>
      </c>
      <c r="I125" s="132"/>
    </row>
    <row r="126" spans="1:13" s="131" customFormat="1">
      <c r="A126" s="205"/>
      <c r="B126" s="207"/>
      <c r="C126" s="210"/>
      <c r="D126" s="210"/>
      <c r="E126" s="210"/>
      <c r="F126" s="210"/>
      <c r="G126" s="210"/>
      <c r="H126" s="210"/>
      <c r="I126" s="132"/>
    </row>
    <row r="127" spans="1:13" s="131" customFormat="1">
      <c r="A127" s="240" t="s">
        <v>482</v>
      </c>
      <c r="B127" s="238" t="s">
        <v>212</v>
      </c>
      <c r="C127" s="383">
        <v>4.3</v>
      </c>
      <c r="D127" s="383">
        <v>2.6</v>
      </c>
      <c r="E127" s="383">
        <v>2</v>
      </c>
      <c r="F127" s="383">
        <v>2</v>
      </c>
      <c r="G127" s="383">
        <v>2</v>
      </c>
      <c r="H127" s="383">
        <v>2</v>
      </c>
      <c r="I127" s="132"/>
    </row>
    <row r="128" spans="1:13" s="131" customFormat="1">
      <c r="A128" s="205" t="s">
        <v>47</v>
      </c>
      <c r="B128" s="241" t="s">
        <v>24</v>
      </c>
      <c r="C128" s="208">
        <v>5</v>
      </c>
      <c r="D128" s="208">
        <v>7</v>
      </c>
      <c r="E128" s="208">
        <v>6</v>
      </c>
      <c r="F128" s="209">
        <v>6</v>
      </c>
      <c r="G128" s="208">
        <v>6</v>
      </c>
      <c r="H128" s="208">
        <v>6</v>
      </c>
      <c r="I128" s="132"/>
    </row>
    <row r="129" spans="1:9" s="131" customFormat="1">
      <c r="A129" s="242" t="s">
        <v>168</v>
      </c>
      <c r="B129" s="241" t="s">
        <v>45</v>
      </c>
      <c r="C129" s="208">
        <v>59</v>
      </c>
      <c r="D129" s="208">
        <v>23</v>
      </c>
      <c r="E129" s="208">
        <v>20</v>
      </c>
      <c r="F129" s="209">
        <v>20</v>
      </c>
      <c r="G129" s="208">
        <v>20</v>
      </c>
      <c r="H129" s="208">
        <v>20</v>
      </c>
      <c r="I129" s="132"/>
    </row>
    <row r="130" spans="1:9" s="131" customFormat="1">
      <c r="A130" s="242" t="s">
        <v>169</v>
      </c>
      <c r="B130" s="207" t="s">
        <v>5</v>
      </c>
      <c r="C130" s="384">
        <v>14.48</v>
      </c>
      <c r="D130" s="384">
        <v>15.73</v>
      </c>
      <c r="E130" s="384">
        <v>16.89</v>
      </c>
      <c r="F130" s="385">
        <v>17.46</v>
      </c>
      <c r="G130" s="384">
        <v>18.25</v>
      </c>
      <c r="H130" s="384">
        <v>19.16</v>
      </c>
      <c r="I130" s="132"/>
    </row>
    <row r="131" spans="1:9" s="131" customFormat="1">
      <c r="A131" s="205"/>
      <c r="B131" s="207"/>
      <c r="F131" s="211"/>
      <c r="I131" s="132"/>
    </row>
    <row r="132" spans="1:9" s="131" customFormat="1" ht="14">
      <c r="A132" s="237" t="s">
        <v>483</v>
      </c>
      <c r="B132" s="238" t="s">
        <v>212</v>
      </c>
      <c r="C132" s="386">
        <v>0.1</v>
      </c>
      <c r="D132" s="386">
        <v>0.5</v>
      </c>
      <c r="E132" s="386">
        <v>0.1</v>
      </c>
      <c r="F132" s="386">
        <v>0.1</v>
      </c>
      <c r="G132" s="386">
        <v>0.1</v>
      </c>
      <c r="H132" s="386">
        <v>0.1</v>
      </c>
      <c r="I132" s="132"/>
    </row>
    <row r="133" spans="1:9" s="131" customFormat="1" ht="14">
      <c r="A133" s="237" t="s">
        <v>484</v>
      </c>
      <c r="B133" s="206"/>
      <c r="C133" s="15"/>
      <c r="D133" s="15"/>
      <c r="E133" s="15"/>
      <c r="F133" s="15"/>
      <c r="G133" s="15"/>
      <c r="H133" s="15"/>
      <c r="I133" s="132"/>
    </row>
    <row r="134" spans="1:9" s="131" customFormat="1">
      <c r="A134" s="212"/>
      <c r="B134" s="206"/>
      <c r="C134" s="15"/>
      <c r="D134" s="15"/>
      <c r="E134" s="15"/>
      <c r="F134" s="15"/>
      <c r="G134" s="15"/>
      <c r="H134" s="15"/>
      <c r="I134" s="132"/>
    </row>
    <row r="135" spans="1:9" s="131" customFormat="1" ht="15">
      <c r="A135" s="234" t="s">
        <v>485</v>
      </c>
      <c r="B135" s="235" t="s">
        <v>212</v>
      </c>
      <c r="C135" s="377">
        <v>317707</v>
      </c>
      <c r="D135" s="377">
        <v>335104</v>
      </c>
      <c r="E135" s="377">
        <v>354096</v>
      </c>
      <c r="F135" s="377">
        <v>373757</v>
      </c>
      <c r="G135" s="377">
        <v>390839</v>
      </c>
      <c r="H135" s="377">
        <v>410435</v>
      </c>
      <c r="I135" s="132"/>
    </row>
    <row r="136" spans="1:9" s="131" customFormat="1" ht="6" customHeight="1">
      <c r="A136" s="234"/>
      <c r="B136" s="235"/>
      <c r="C136" s="15"/>
      <c r="D136" s="15"/>
      <c r="E136" s="15"/>
      <c r="F136" s="15"/>
      <c r="G136" s="15"/>
      <c r="H136" s="15"/>
      <c r="I136" s="132"/>
    </row>
    <row r="137" spans="1:9" s="131" customFormat="1" ht="14">
      <c r="A137" s="237" t="s">
        <v>486</v>
      </c>
      <c r="B137" s="238" t="s">
        <v>212</v>
      </c>
      <c r="C137" s="15">
        <v>317707</v>
      </c>
      <c r="D137" s="15">
        <v>335104</v>
      </c>
      <c r="E137" s="15">
        <v>354096</v>
      </c>
      <c r="F137" s="15">
        <v>373757</v>
      </c>
      <c r="G137" s="15">
        <v>390839</v>
      </c>
      <c r="H137" s="15">
        <v>410435</v>
      </c>
      <c r="I137" s="132"/>
    </row>
    <row r="138" spans="1:9" s="131" customFormat="1" ht="14">
      <c r="A138" s="237" t="s">
        <v>487</v>
      </c>
      <c r="B138" s="206"/>
      <c r="C138" s="208"/>
      <c r="D138" s="208"/>
      <c r="E138" s="208"/>
      <c r="F138" s="208"/>
      <c r="G138" s="208"/>
      <c r="H138" s="208"/>
      <c r="I138" s="132"/>
    </row>
    <row r="139" spans="1:9" s="131" customFormat="1" ht="13.5" customHeight="1">
      <c r="A139" s="237"/>
      <c r="B139" s="206"/>
      <c r="C139" s="15"/>
      <c r="D139" s="15"/>
      <c r="E139" s="15"/>
      <c r="F139" s="15"/>
      <c r="G139" s="15"/>
      <c r="H139" s="15"/>
      <c r="I139" s="132"/>
    </row>
    <row r="140" spans="1:9" s="131" customFormat="1">
      <c r="A140" s="240" t="s">
        <v>488</v>
      </c>
      <c r="B140" s="238" t="s">
        <v>212</v>
      </c>
      <c r="C140" s="15">
        <v>72771</v>
      </c>
      <c r="D140" s="15">
        <v>77229</v>
      </c>
      <c r="E140" s="15">
        <v>84226</v>
      </c>
      <c r="F140" s="15">
        <v>87862</v>
      </c>
      <c r="G140" s="15">
        <v>91868</v>
      </c>
      <c r="H140" s="15">
        <v>96457</v>
      </c>
      <c r="I140" s="132"/>
    </row>
    <row r="141" spans="1:9" s="131" customFormat="1">
      <c r="A141" s="205" t="s">
        <v>229</v>
      </c>
      <c r="B141" s="207" t="s">
        <v>212</v>
      </c>
      <c r="C141" s="208">
        <v>72977</v>
      </c>
      <c r="D141" s="208">
        <v>77226</v>
      </c>
      <c r="E141" s="208">
        <v>84223</v>
      </c>
      <c r="F141" s="209">
        <v>87860</v>
      </c>
      <c r="G141" s="208">
        <v>91866</v>
      </c>
      <c r="H141" s="208">
        <v>96454</v>
      </c>
      <c r="I141" s="132"/>
    </row>
    <row r="142" spans="1:9" s="131" customFormat="1">
      <c r="A142" s="205" t="s">
        <v>47</v>
      </c>
      <c r="B142" s="241" t="s">
        <v>24</v>
      </c>
      <c r="C142" s="208">
        <v>24536</v>
      </c>
      <c r="D142" s="208">
        <v>21441</v>
      </c>
      <c r="E142" s="208">
        <v>21200</v>
      </c>
      <c r="F142" s="209">
        <v>21400</v>
      </c>
      <c r="G142" s="208">
        <v>21400</v>
      </c>
      <c r="H142" s="208">
        <v>21400</v>
      </c>
      <c r="I142" s="132"/>
    </row>
    <row r="143" spans="1:9" s="131" customFormat="1">
      <c r="A143" s="205" t="s">
        <v>155</v>
      </c>
      <c r="B143" s="241" t="s">
        <v>45</v>
      </c>
      <c r="C143" s="208">
        <v>1784803</v>
      </c>
      <c r="D143" s="208">
        <v>1738298</v>
      </c>
      <c r="E143" s="208">
        <v>1696000</v>
      </c>
      <c r="F143" s="209">
        <v>1712000</v>
      </c>
      <c r="G143" s="208">
        <v>1712000</v>
      </c>
      <c r="H143" s="208">
        <v>1712000</v>
      </c>
      <c r="I143" s="132"/>
    </row>
    <row r="144" spans="1:9" s="131" customFormat="1" ht="12.75" customHeight="1">
      <c r="A144" s="205" t="s">
        <v>154</v>
      </c>
      <c r="B144" s="241" t="s">
        <v>45</v>
      </c>
      <c r="C144" s="213">
        <v>72.7</v>
      </c>
      <c r="D144" s="213">
        <v>81.099999999999994</v>
      </c>
      <c r="E144" s="213">
        <v>80</v>
      </c>
      <c r="F144" s="214">
        <v>80</v>
      </c>
      <c r="G144" s="213">
        <v>80</v>
      </c>
      <c r="H144" s="213">
        <v>80</v>
      </c>
      <c r="I144" s="132"/>
    </row>
    <row r="145" spans="1:9" s="131" customFormat="1" ht="12.75" customHeight="1">
      <c r="A145" s="205" t="s">
        <v>164</v>
      </c>
      <c r="B145" s="207" t="s">
        <v>5</v>
      </c>
      <c r="C145" s="378">
        <v>40.9</v>
      </c>
      <c r="D145" s="378">
        <v>44.43</v>
      </c>
      <c r="E145" s="378">
        <v>49.66</v>
      </c>
      <c r="F145" s="379">
        <v>51.32</v>
      </c>
      <c r="G145" s="378">
        <v>53.66</v>
      </c>
      <c r="H145" s="378">
        <v>56.34</v>
      </c>
      <c r="I145" s="132"/>
    </row>
    <row r="146" spans="1:9" s="131" customFormat="1">
      <c r="A146" s="205" t="s">
        <v>292</v>
      </c>
      <c r="B146" s="207" t="s">
        <v>212</v>
      </c>
      <c r="C146" s="208">
        <v>44</v>
      </c>
      <c r="D146" s="208">
        <v>47</v>
      </c>
      <c r="E146" s="208">
        <v>50</v>
      </c>
      <c r="F146" s="209">
        <v>52</v>
      </c>
      <c r="G146" s="208">
        <v>54</v>
      </c>
      <c r="H146" s="208">
        <v>57</v>
      </c>
      <c r="I146" s="132"/>
    </row>
    <row r="147" spans="1:9" s="131" customFormat="1">
      <c r="A147" s="243" t="s">
        <v>293</v>
      </c>
      <c r="B147" s="207" t="s">
        <v>212</v>
      </c>
      <c r="C147" s="387">
        <v>-206</v>
      </c>
      <c r="D147" s="387">
        <v>2.8</v>
      </c>
      <c r="E147" s="208">
        <v>3</v>
      </c>
      <c r="F147" s="209">
        <v>2</v>
      </c>
      <c r="G147" s="208">
        <v>2</v>
      </c>
      <c r="H147" s="208">
        <v>3</v>
      </c>
      <c r="I147" s="132"/>
    </row>
    <row r="148" spans="1:9" s="131" customFormat="1">
      <c r="A148" s="205"/>
      <c r="B148" s="241"/>
      <c r="C148" s="15"/>
      <c r="D148" s="15"/>
      <c r="E148" s="15"/>
      <c r="F148" s="15"/>
      <c r="G148" s="15"/>
      <c r="H148" s="15"/>
      <c r="I148" s="132"/>
    </row>
    <row r="149" spans="1:9" s="131" customFormat="1">
      <c r="A149" s="244" t="s">
        <v>489</v>
      </c>
      <c r="B149" s="238" t="s">
        <v>212</v>
      </c>
      <c r="C149" s="383">
        <v>229199</v>
      </c>
      <c r="D149" s="383">
        <v>241167</v>
      </c>
      <c r="E149" s="383">
        <v>252228</v>
      </c>
      <c r="F149" s="383">
        <v>266467</v>
      </c>
      <c r="G149" s="383">
        <v>278655</v>
      </c>
      <c r="H149" s="383">
        <v>292643</v>
      </c>
      <c r="I149" s="132"/>
    </row>
    <row r="150" spans="1:9" s="131" customFormat="1" ht="7.5" customHeight="1">
      <c r="A150" s="212"/>
      <c r="B150" s="206"/>
      <c r="C150" s="209"/>
      <c r="D150" s="209"/>
      <c r="E150" s="209"/>
      <c r="F150" s="209"/>
      <c r="G150" s="209"/>
      <c r="H150" s="209"/>
      <c r="I150" s="132"/>
    </row>
    <row r="151" spans="1:9" s="131" customFormat="1" ht="12.75" customHeight="1">
      <c r="A151" s="245" t="s">
        <v>294</v>
      </c>
      <c r="B151" s="238" t="s">
        <v>212</v>
      </c>
      <c r="C151" s="209">
        <v>126520</v>
      </c>
      <c r="D151" s="209">
        <v>130412</v>
      </c>
      <c r="E151" s="209">
        <v>137366</v>
      </c>
      <c r="F151" s="388">
        <v>147752</v>
      </c>
      <c r="G151" s="388">
        <v>154547</v>
      </c>
      <c r="H151" s="388">
        <v>162322</v>
      </c>
      <c r="I151" s="132"/>
    </row>
    <row r="152" spans="1:9" s="131" customFormat="1" ht="12.75" customHeight="1">
      <c r="A152" s="245" t="s">
        <v>490</v>
      </c>
      <c r="B152" s="206"/>
      <c r="C152" s="208"/>
      <c r="D152" s="208"/>
      <c r="E152" s="208"/>
      <c r="F152" s="209"/>
      <c r="G152" s="208"/>
      <c r="H152" s="208"/>
      <c r="I152" s="132"/>
    </row>
    <row r="153" spans="1:9" s="131" customFormat="1" ht="12.75" customHeight="1">
      <c r="A153" s="245" t="s">
        <v>491</v>
      </c>
      <c r="B153" s="207" t="s">
        <v>212</v>
      </c>
      <c r="C153" s="208">
        <v>124120</v>
      </c>
      <c r="D153" s="208">
        <v>129822</v>
      </c>
      <c r="E153" s="208">
        <v>136859</v>
      </c>
      <c r="F153" s="209">
        <v>147504</v>
      </c>
      <c r="G153" s="208">
        <v>154201</v>
      </c>
      <c r="H153" s="208">
        <v>161923</v>
      </c>
      <c r="I153" s="132"/>
    </row>
    <row r="154" spans="1:9" s="131" customFormat="1" ht="14.25" customHeight="1">
      <c r="A154" s="205" t="s">
        <v>170</v>
      </c>
      <c r="B154" s="241" t="s">
        <v>24</v>
      </c>
      <c r="C154" s="380">
        <v>19754</v>
      </c>
      <c r="D154" s="380">
        <v>19042</v>
      </c>
      <c r="E154" s="380">
        <v>18700</v>
      </c>
      <c r="F154" s="381">
        <v>19500</v>
      </c>
      <c r="G154" s="380">
        <v>19500</v>
      </c>
      <c r="H154" s="380">
        <v>19500</v>
      </c>
      <c r="I154" s="132"/>
    </row>
    <row r="155" spans="1:9" s="131" customFormat="1">
      <c r="A155" s="205" t="s">
        <v>171</v>
      </c>
      <c r="B155" s="207" t="s">
        <v>5</v>
      </c>
      <c r="C155" s="378">
        <v>523.6</v>
      </c>
      <c r="D155" s="378">
        <v>568.14</v>
      </c>
      <c r="E155" s="378">
        <v>609.89</v>
      </c>
      <c r="F155" s="379">
        <v>630.36</v>
      </c>
      <c r="G155" s="378">
        <v>658.98</v>
      </c>
      <c r="H155" s="378">
        <v>691.98</v>
      </c>
      <c r="I155" s="132"/>
    </row>
    <row r="156" spans="1:9" s="131" customFormat="1" ht="15" customHeight="1">
      <c r="A156" s="205" t="s">
        <v>295</v>
      </c>
      <c r="B156" s="207" t="s">
        <v>212</v>
      </c>
      <c r="C156" s="208">
        <v>6283</v>
      </c>
      <c r="D156" s="208">
        <v>6872.7</v>
      </c>
      <c r="E156" s="208">
        <v>7380</v>
      </c>
      <c r="F156" s="209">
        <v>7628</v>
      </c>
      <c r="G156" s="208">
        <v>7974</v>
      </c>
      <c r="H156" s="208">
        <v>8373</v>
      </c>
      <c r="I156" s="132"/>
    </row>
    <row r="157" spans="1:9" s="131" customFormat="1" ht="15" customHeight="1">
      <c r="A157" s="205" t="s">
        <v>296</v>
      </c>
      <c r="B157" s="207" t="s">
        <v>212</v>
      </c>
      <c r="C157" s="208">
        <v>2400</v>
      </c>
      <c r="D157" s="208">
        <v>590</v>
      </c>
      <c r="E157" s="208">
        <v>507</v>
      </c>
      <c r="F157" s="209">
        <v>248</v>
      </c>
      <c r="G157" s="208">
        <v>346</v>
      </c>
      <c r="H157" s="208">
        <v>399</v>
      </c>
      <c r="I157" s="132"/>
    </row>
    <row r="158" spans="1:9" s="131" customFormat="1" ht="15" customHeight="1">
      <c r="A158" s="205"/>
      <c r="B158" s="241"/>
      <c r="C158" s="209"/>
      <c r="D158" s="209"/>
      <c r="E158" s="209"/>
      <c r="F158" s="209"/>
      <c r="G158" s="209"/>
      <c r="H158" s="209"/>
      <c r="I158" s="132"/>
    </row>
    <row r="159" spans="1:9" s="131" customFormat="1" ht="15" customHeight="1">
      <c r="A159" s="245" t="s">
        <v>403</v>
      </c>
      <c r="B159" s="238" t="s">
        <v>212</v>
      </c>
      <c r="C159" s="209">
        <v>102679</v>
      </c>
      <c r="D159" s="209">
        <v>110755</v>
      </c>
      <c r="E159" s="209">
        <v>114862</v>
      </c>
      <c r="F159" s="388">
        <v>118715</v>
      </c>
      <c r="G159" s="388">
        <v>124108</v>
      </c>
      <c r="H159" s="388">
        <v>130321</v>
      </c>
      <c r="I159" s="132"/>
    </row>
    <row r="160" spans="1:9" s="131" customFormat="1">
      <c r="A160" s="245" t="s">
        <v>404</v>
      </c>
      <c r="B160" s="206"/>
      <c r="C160" s="208"/>
      <c r="D160" s="208"/>
      <c r="E160" s="208"/>
      <c r="F160" s="209"/>
      <c r="G160" s="208"/>
      <c r="H160" s="208"/>
      <c r="I160" s="132"/>
    </row>
    <row r="161" spans="1:9" s="131" customFormat="1">
      <c r="A161" s="205" t="s">
        <v>170</v>
      </c>
      <c r="B161" s="241" t="s">
        <v>24</v>
      </c>
      <c r="C161" s="380">
        <v>23820</v>
      </c>
      <c r="D161" s="380">
        <v>23253</v>
      </c>
      <c r="E161" s="380">
        <v>22300</v>
      </c>
      <c r="F161" s="381">
        <v>22300</v>
      </c>
      <c r="G161" s="380">
        <v>22300</v>
      </c>
      <c r="H161" s="380">
        <v>22300</v>
      </c>
      <c r="I161" s="132"/>
    </row>
    <row r="162" spans="1:9" s="131" customFormat="1">
      <c r="A162" s="205" t="s">
        <v>171</v>
      </c>
      <c r="B162" s="207" t="s">
        <v>5</v>
      </c>
      <c r="C162" s="378">
        <v>359.2</v>
      </c>
      <c r="D162" s="378">
        <v>396.92</v>
      </c>
      <c r="E162" s="378">
        <v>429.23</v>
      </c>
      <c r="F162" s="379">
        <v>443.63</v>
      </c>
      <c r="G162" s="378">
        <v>463.78</v>
      </c>
      <c r="H162" s="378">
        <v>487</v>
      </c>
      <c r="I162" s="132"/>
    </row>
    <row r="163" spans="1:9" s="131" customFormat="1">
      <c r="A163" s="241"/>
      <c r="B163" s="241"/>
      <c r="C163" s="15"/>
      <c r="D163" s="15"/>
      <c r="E163" s="15"/>
      <c r="F163" s="15"/>
      <c r="G163" s="15"/>
      <c r="H163" s="15"/>
      <c r="I163" s="132"/>
    </row>
    <row r="164" spans="1:9" s="131" customFormat="1" ht="15" customHeight="1">
      <c r="A164" s="246" t="s">
        <v>492</v>
      </c>
      <c r="B164" s="238" t="s">
        <v>212</v>
      </c>
      <c r="C164" s="383">
        <v>15737</v>
      </c>
      <c r="D164" s="383">
        <v>16708</v>
      </c>
      <c r="E164" s="383">
        <v>17642</v>
      </c>
      <c r="F164" s="383">
        <v>19428</v>
      </c>
      <c r="G164" s="383">
        <v>20316</v>
      </c>
      <c r="H164" s="383">
        <v>21335</v>
      </c>
      <c r="I164" s="132"/>
    </row>
    <row r="165" spans="1:9" s="131" customFormat="1">
      <c r="A165" s="247" t="s">
        <v>493</v>
      </c>
      <c r="B165" s="206"/>
      <c r="C165" s="208">
        <v>15618</v>
      </c>
      <c r="D165" s="208">
        <v>16749</v>
      </c>
      <c r="E165" s="208">
        <v>17606</v>
      </c>
      <c r="F165" s="209">
        <v>19410</v>
      </c>
      <c r="G165" s="208">
        <v>20291</v>
      </c>
      <c r="H165" s="208">
        <v>21307</v>
      </c>
      <c r="I165" s="132"/>
    </row>
    <row r="166" spans="1:9" s="131" customFormat="1">
      <c r="A166" s="205" t="s">
        <v>47</v>
      </c>
      <c r="B166" s="241" t="s">
        <v>24</v>
      </c>
      <c r="C166" s="208">
        <v>16380</v>
      </c>
      <c r="D166" s="208">
        <v>15815</v>
      </c>
      <c r="E166" s="208">
        <v>15000</v>
      </c>
      <c r="F166" s="209">
        <v>16000</v>
      </c>
      <c r="G166" s="208">
        <v>16000</v>
      </c>
      <c r="H166" s="208">
        <v>16000</v>
      </c>
      <c r="I166" s="132"/>
    </row>
    <row r="167" spans="1:9" s="131" customFormat="1">
      <c r="A167" s="242" t="s">
        <v>172</v>
      </c>
      <c r="B167" s="207" t="s">
        <v>5</v>
      </c>
      <c r="C167" s="378">
        <v>953.5</v>
      </c>
      <c r="D167" s="378">
        <v>1059.07</v>
      </c>
      <c r="E167" s="378">
        <v>1173.7</v>
      </c>
      <c r="F167" s="379">
        <v>1213.0999999999999</v>
      </c>
      <c r="G167" s="378">
        <v>1268.18</v>
      </c>
      <c r="H167" s="378">
        <v>1331.68</v>
      </c>
      <c r="I167" s="132"/>
    </row>
    <row r="168" spans="1:9" s="131" customFormat="1" ht="12.75" hidden="1" customHeight="1">
      <c r="A168" s="205"/>
      <c r="B168" s="207"/>
      <c r="C168" s="389"/>
      <c r="D168" s="389"/>
      <c r="E168" s="389"/>
      <c r="F168" s="389"/>
      <c r="G168" s="390"/>
      <c r="H168" s="390"/>
      <c r="I168" s="132"/>
    </row>
    <row r="169" spans="1:9" s="131" customFormat="1">
      <c r="A169" s="205" t="s">
        <v>297</v>
      </c>
      <c r="B169" s="207" t="s">
        <v>212</v>
      </c>
      <c r="C169" s="208">
        <v>531</v>
      </c>
      <c r="D169" s="208">
        <v>490</v>
      </c>
      <c r="E169" s="208">
        <v>526</v>
      </c>
      <c r="F169" s="209">
        <v>544</v>
      </c>
      <c r="G169" s="208">
        <v>569</v>
      </c>
      <c r="H169" s="208">
        <v>597</v>
      </c>
      <c r="I169" s="132"/>
    </row>
    <row r="170" spans="1:9" s="131" customFormat="1">
      <c r="A170" s="205" t="s">
        <v>298</v>
      </c>
      <c r="B170" s="207" t="s">
        <v>212</v>
      </c>
      <c r="C170" s="208">
        <v>119</v>
      </c>
      <c r="D170" s="208">
        <v>-41</v>
      </c>
      <c r="E170" s="208">
        <v>36</v>
      </c>
      <c r="F170" s="209">
        <v>18</v>
      </c>
      <c r="G170" s="208">
        <v>25</v>
      </c>
      <c r="H170" s="208">
        <v>28</v>
      </c>
      <c r="I170" s="132"/>
    </row>
    <row r="171" spans="1:9" s="131" customFormat="1" ht="4.5" customHeight="1">
      <c r="A171" s="212"/>
      <c r="B171" s="206"/>
      <c r="C171" s="15"/>
      <c r="D171" s="15"/>
      <c r="E171" s="15"/>
      <c r="F171" s="15"/>
      <c r="G171" s="15"/>
      <c r="H171" s="15"/>
      <c r="I171" s="132"/>
    </row>
    <row r="172" spans="1:9" s="131" customFormat="1" ht="14.25" customHeight="1">
      <c r="A172" s="237" t="s">
        <v>494</v>
      </c>
      <c r="B172" s="238" t="s">
        <v>212</v>
      </c>
      <c r="C172" s="391">
        <v>0</v>
      </c>
      <c r="D172" s="391">
        <v>0</v>
      </c>
      <c r="E172" s="391">
        <v>0</v>
      </c>
      <c r="F172" s="15">
        <v>0</v>
      </c>
      <c r="G172" s="391">
        <v>0</v>
      </c>
      <c r="H172" s="391">
        <v>0</v>
      </c>
      <c r="I172" s="132"/>
    </row>
    <row r="173" spans="1:9" s="116" customFormat="1" ht="14">
      <c r="A173" s="237" t="s">
        <v>495</v>
      </c>
      <c r="B173" s="206"/>
      <c r="C173" s="213"/>
      <c r="D173" s="213"/>
      <c r="E173" s="213"/>
      <c r="F173" s="214"/>
      <c r="G173" s="213"/>
      <c r="H173" s="213"/>
      <c r="I173" s="133"/>
    </row>
    <row r="174" spans="1:9" s="116" customFormat="1" ht="23.25" customHeight="1">
      <c r="A174" s="237"/>
      <c r="B174" s="206"/>
      <c r="C174" s="213"/>
      <c r="D174" s="213"/>
      <c r="E174" s="213"/>
      <c r="F174" s="214"/>
      <c r="G174" s="213"/>
      <c r="H174" s="213"/>
      <c r="I174" s="133"/>
    </row>
    <row r="175" spans="1:9" s="116" customFormat="1" ht="11.25" customHeight="1">
      <c r="A175" s="205"/>
      <c r="B175" s="207"/>
      <c r="C175" s="213"/>
      <c r="D175" s="213"/>
      <c r="E175" s="213"/>
      <c r="F175" s="213"/>
      <c r="G175" s="213"/>
      <c r="H175" s="26" t="s">
        <v>19</v>
      </c>
      <c r="I175" s="133"/>
    </row>
    <row r="176" spans="1:9" s="116" customFormat="1" ht="17.25" customHeight="1">
      <c r="A176" s="212"/>
      <c r="B176" s="207"/>
      <c r="C176" s="215"/>
      <c r="D176" s="215"/>
      <c r="E176" s="215"/>
      <c r="F176" s="215"/>
      <c r="G176" s="215"/>
      <c r="H176" s="26" t="s">
        <v>48</v>
      </c>
      <c r="I176" s="133"/>
    </row>
    <row r="177" spans="1:13" s="116" customFormat="1" ht="12" customHeight="1">
      <c r="A177" s="232"/>
      <c r="B177" s="448" t="s">
        <v>1</v>
      </c>
      <c r="C177" s="446" t="s">
        <v>345</v>
      </c>
      <c r="D177" s="446" t="s">
        <v>398</v>
      </c>
      <c r="E177" s="446" t="s">
        <v>399</v>
      </c>
      <c r="F177" s="444" t="s">
        <v>400</v>
      </c>
      <c r="G177" s="446" t="s">
        <v>346</v>
      </c>
      <c r="H177" s="446" t="s">
        <v>401</v>
      </c>
    </row>
    <row r="178" spans="1:13" s="116" customFormat="1" ht="17.25" customHeight="1">
      <c r="A178" s="233"/>
      <c r="B178" s="449" t="s">
        <v>2</v>
      </c>
      <c r="C178" s="450"/>
      <c r="D178" s="450"/>
      <c r="E178" s="450"/>
      <c r="F178" s="445"/>
      <c r="G178" s="447"/>
      <c r="H178" s="447"/>
    </row>
    <row r="179" spans="1:13" s="116" customFormat="1" ht="13.5" customHeight="1">
      <c r="A179" s="248"/>
      <c r="B179" s="99"/>
      <c r="C179" s="99"/>
      <c r="D179" s="99"/>
      <c r="E179" s="99"/>
      <c r="F179" s="100"/>
      <c r="G179" s="5"/>
      <c r="H179" s="5"/>
    </row>
    <row r="180" spans="1:13" s="131" customFormat="1" ht="15">
      <c r="A180" s="234" t="s">
        <v>496</v>
      </c>
      <c r="B180" s="237" t="s">
        <v>212</v>
      </c>
      <c r="C180" s="392">
        <v>194267</v>
      </c>
      <c r="D180" s="392">
        <v>201259</v>
      </c>
      <c r="E180" s="392">
        <v>304969</v>
      </c>
      <c r="F180" s="392">
        <v>312312</v>
      </c>
      <c r="G180" s="392">
        <v>287228</v>
      </c>
      <c r="H180" s="392">
        <v>276611</v>
      </c>
      <c r="I180" s="132"/>
    </row>
    <row r="181" spans="1:13" s="131" customFormat="1" ht="8.25" customHeight="1">
      <c r="A181" s="212"/>
      <c r="B181" s="206"/>
      <c r="C181" s="389"/>
      <c r="D181" s="389"/>
      <c r="E181" s="389"/>
      <c r="F181" s="389"/>
      <c r="G181" s="390"/>
      <c r="H181" s="390"/>
      <c r="I181" s="132"/>
    </row>
    <row r="182" spans="1:13" s="131" customFormat="1" ht="24.75" customHeight="1">
      <c r="A182" s="249" t="s">
        <v>497</v>
      </c>
      <c r="B182" s="212" t="s">
        <v>212</v>
      </c>
      <c r="C182" s="393">
        <v>167683</v>
      </c>
      <c r="D182" s="393">
        <v>201259</v>
      </c>
      <c r="E182" s="393">
        <v>304969</v>
      </c>
      <c r="F182" s="393">
        <v>312312</v>
      </c>
      <c r="G182" s="393">
        <v>287228</v>
      </c>
      <c r="H182" s="393">
        <v>276611</v>
      </c>
      <c r="I182" s="132"/>
    </row>
    <row r="183" spans="1:13" s="131" customFormat="1" ht="15" customHeight="1">
      <c r="A183" s="250" t="s">
        <v>370</v>
      </c>
      <c r="B183" s="205" t="s">
        <v>212</v>
      </c>
      <c r="C183" s="394">
        <v>166028</v>
      </c>
      <c r="D183" s="394">
        <v>194510</v>
      </c>
      <c r="E183" s="394">
        <v>303930</v>
      </c>
      <c r="F183" s="393">
        <v>311805</v>
      </c>
      <c r="G183" s="394">
        <v>286519</v>
      </c>
      <c r="H183" s="394">
        <v>275793</v>
      </c>
      <c r="I183" s="132"/>
    </row>
    <row r="184" spans="1:13" s="131" customFormat="1" ht="15" customHeight="1">
      <c r="A184" s="250" t="s">
        <v>382</v>
      </c>
      <c r="B184" s="241" t="s">
        <v>24</v>
      </c>
      <c r="C184" s="394">
        <v>57853</v>
      </c>
      <c r="D184" s="394">
        <v>59982</v>
      </c>
      <c r="E184" s="394">
        <v>82500</v>
      </c>
      <c r="F184" s="393">
        <v>76875</v>
      </c>
      <c r="G184" s="394">
        <v>67500</v>
      </c>
      <c r="H184" s="394">
        <v>61875</v>
      </c>
      <c r="I184" s="132"/>
    </row>
    <row r="185" spans="1:13" s="131" customFormat="1" ht="15" customHeight="1">
      <c r="A185" s="250" t="s">
        <v>383</v>
      </c>
      <c r="B185" s="207" t="s">
        <v>5</v>
      </c>
      <c r="C185" s="395">
        <v>239.15</v>
      </c>
      <c r="D185" s="395">
        <v>270.23</v>
      </c>
      <c r="E185" s="395">
        <v>307</v>
      </c>
      <c r="F185" s="396">
        <v>338</v>
      </c>
      <c r="G185" s="395">
        <v>353.73</v>
      </c>
      <c r="H185" s="395">
        <v>371.44</v>
      </c>
      <c r="I185" s="132"/>
    </row>
    <row r="186" spans="1:13" s="131" customFormat="1" ht="15" customHeight="1">
      <c r="A186" s="250" t="s">
        <v>371</v>
      </c>
      <c r="B186" s="205" t="s">
        <v>212</v>
      </c>
      <c r="C186" s="394">
        <v>7326</v>
      </c>
      <c r="D186" s="394">
        <v>14074.3</v>
      </c>
      <c r="E186" s="394">
        <v>15113</v>
      </c>
      <c r="F186" s="393">
        <v>15620</v>
      </c>
      <c r="G186" s="394">
        <v>16329</v>
      </c>
      <c r="H186" s="394">
        <v>17147</v>
      </c>
      <c r="I186" s="132"/>
    </row>
    <row r="187" spans="1:13" s="131" customFormat="1" ht="13.5" customHeight="1">
      <c r="A187" s="250" t="s">
        <v>372</v>
      </c>
      <c r="B187" s="205" t="s">
        <v>212</v>
      </c>
      <c r="C187" s="394">
        <v>1655</v>
      </c>
      <c r="D187" s="394">
        <v>6748.6</v>
      </c>
      <c r="E187" s="394">
        <v>1039</v>
      </c>
      <c r="F187" s="393">
        <v>507</v>
      </c>
      <c r="G187" s="394">
        <v>709</v>
      </c>
      <c r="H187" s="394">
        <v>818</v>
      </c>
      <c r="I187" s="132"/>
    </row>
    <row r="188" spans="1:13" s="131" customFormat="1" ht="15" customHeight="1">
      <c r="A188" s="212" t="s">
        <v>156</v>
      </c>
      <c r="B188" s="212" t="s">
        <v>212</v>
      </c>
      <c r="C188" s="15">
        <v>0</v>
      </c>
      <c r="D188" s="15">
        <v>0</v>
      </c>
      <c r="E188" s="15">
        <v>0</v>
      </c>
      <c r="F188" s="15">
        <v>0</v>
      </c>
      <c r="G188" s="15">
        <v>0</v>
      </c>
      <c r="H188" s="15">
        <v>0</v>
      </c>
      <c r="I188" s="132"/>
    </row>
    <row r="189" spans="1:13" s="116" customFormat="1" ht="15" customHeight="1">
      <c r="A189" s="212" t="s">
        <v>163</v>
      </c>
      <c r="B189" s="212" t="s">
        <v>212</v>
      </c>
      <c r="C189" s="15">
        <v>26584</v>
      </c>
      <c r="D189" s="397" t="s">
        <v>213</v>
      </c>
      <c r="E189" s="397" t="s">
        <v>213</v>
      </c>
      <c r="F189" s="397" t="s">
        <v>213</v>
      </c>
      <c r="G189" s="397" t="s">
        <v>213</v>
      </c>
      <c r="H189" s="397" t="s">
        <v>213</v>
      </c>
      <c r="I189" s="133"/>
    </row>
    <row r="190" spans="1:13" s="29" customFormat="1" ht="14">
      <c r="A190" s="251"/>
      <c r="B190" s="252"/>
      <c r="C190" s="37"/>
      <c r="D190" s="37"/>
      <c r="E190" s="37"/>
      <c r="F190" s="37"/>
      <c r="G190" s="37"/>
      <c r="H190" s="37"/>
      <c r="I190" s="63"/>
    </row>
    <row r="191" spans="1:13" s="39" customFormat="1" ht="13.5" customHeight="1">
      <c r="A191" s="253" t="s">
        <v>498</v>
      </c>
      <c r="B191" s="252" t="s">
        <v>212</v>
      </c>
      <c r="C191" s="216">
        <v>26231</v>
      </c>
      <c r="D191" s="216">
        <v>28723</v>
      </c>
      <c r="E191" s="216">
        <v>29412</v>
      </c>
      <c r="F191" s="216">
        <v>31102</v>
      </c>
      <c r="G191" s="216">
        <v>33141</v>
      </c>
      <c r="H191" s="216">
        <v>35494</v>
      </c>
      <c r="I191" s="38"/>
      <c r="J191" s="216"/>
      <c r="K191" s="216"/>
      <c r="L191" s="216"/>
      <c r="M191" s="216"/>
    </row>
    <row r="192" spans="1:13" s="41" customFormat="1" ht="14" customHeight="1">
      <c r="A192" s="254" t="s">
        <v>499</v>
      </c>
      <c r="B192" s="252"/>
      <c r="C192" s="398"/>
      <c r="D192" s="398"/>
      <c r="E192" s="398"/>
      <c r="F192" s="398"/>
      <c r="G192" s="398"/>
      <c r="H192" s="398"/>
      <c r="I192" s="40"/>
    </row>
    <row r="193" spans="1:13" s="1" customFormat="1" ht="10.5" customHeight="1">
      <c r="A193" s="39"/>
      <c r="B193" s="252"/>
      <c r="C193" s="399"/>
      <c r="D193" s="399"/>
      <c r="E193" s="400"/>
      <c r="F193" s="401"/>
      <c r="G193" s="400"/>
      <c r="H193" s="400"/>
      <c r="I193" s="42"/>
    </row>
    <row r="194" spans="1:13" s="39" customFormat="1" ht="17.25" customHeight="1">
      <c r="A194" s="39" t="s">
        <v>500</v>
      </c>
      <c r="B194" s="252" t="s">
        <v>212</v>
      </c>
      <c r="C194" s="216">
        <v>9266</v>
      </c>
      <c r="D194" s="216">
        <v>10719</v>
      </c>
      <c r="E194" s="216">
        <v>9606</v>
      </c>
      <c r="F194" s="216">
        <v>10423</v>
      </c>
      <c r="G194" s="216">
        <v>11457</v>
      </c>
      <c r="H194" s="216">
        <v>12649</v>
      </c>
      <c r="I194" s="43"/>
      <c r="J194" s="216"/>
      <c r="K194" s="216"/>
      <c r="L194" s="216"/>
      <c r="M194" s="216"/>
    </row>
    <row r="195" spans="1:13" s="39" customFormat="1" ht="17.25" customHeight="1">
      <c r="A195" s="39" t="s">
        <v>501</v>
      </c>
      <c r="B195" s="252"/>
      <c r="C195" s="216"/>
      <c r="D195" s="216"/>
      <c r="E195" s="216"/>
      <c r="F195" s="216"/>
      <c r="G195" s="216"/>
      <c r="H195" s="216"/>
      <c r="I195" s="43"/>
    </row>
    <row r="196" spans="1:13" s="1" customFormat="1" ht="14" customHeight="1">
      <c r="A196" s="1" t="s">
        <v>274</v>
      </c>
      <c r="B196" s="252"/>
      <c r="C196" s="402"/>
      <c r="D196" s="402"/>
      <c r="E196" s="402"/>
      <c r="F196" s="403"/>
      <c r="G196" s="402"/>
      <c r="H196" s="402"/>
      <c r="I196" s="42"/>
    </row>
    <row r="197" spans="1:13" s="1" customFormat="1" ht="8.25" customHeight="1">
      <c r="A197" s="39"/>
      <c r="B197" s="252"/>
      <c r="C197" s="402"/>
      <c r="D197" s="402"/>
      <c r="E197" s="402"/>
      <c r="F197" s="403"/>
      <c r="G197" s="402"/>
      <c r="H197" s="402"/>
      <c r="I197" s="42"/>
    </row>
    <row r="198" spans="1:13" s="39" customFormat="1" ht="11.25" customHeight="1">
      <c r="A198" s="39" t="s">
        <v>281</v>
      </c>
      <c r="B198" s="252" t="s">
        <v>212</v>
      </c>
      <c r="C198" s="216">
        <v>73</v>
      </c>
      <c r="D198" s="216">
        <v>55</v>
      </c>
      <c r="E198" s="216">
        <v>76</v>
      </c>
      <c r="F198" s="216">
        <v>79</v>
      </c>
      <c r="G198" s="216">
        <v>82</v>
      </c>
      <c r="H198" s="216">
        <v>87</v>
      </c>
      <c r="I198" s="43"/>
    </row>
    <row r="199" spans="1:13" s="1" customFormat="1" ht="14" customHeight="1">
      <c r="A199" s="1" t="s">
        <v>49</v>
      </c>
      <c r="B199" s="136" t="s">
        <v>24</v>
      </c>
      <c r="C199" s="404">
        <v>80</v>
      </c>
      <c r="D199" s="404">
        <v>71</v>
      </c>
      <c r="E199" s="404">
        <v>75</v>
      </c>
      <c r="F199" s="405">
        <v>75</v>
      </c>
      <c r="G199" s="404">
        <v>75</v>
      </c>
      <c r="H199" s="404">
        <v>75</v>
      </c>
      <c r="I199" s="42"/>
    </row>
    <row r="200" spans="1:13" s="1" customFormat="1" ht="14" customHeight="1">
      <c r="A200" s="1" t="s">
        <v>50</v>
      </c>
      <c r="B200" s="136" t="s">
        <v>51</v>
      </c>
      <c r="C200" s="406">
        <v>29.9</v>
      </c>
      <c r="D200" s="406">
        <v>24</v>
      </c>
      <c r="E200" s="406">
        <v>28.5</v>
      </c>
      <c r="F200" s="407">
        <v>28.5</v>
      </c>
      <c r="G200" s="406">
        <v>28.5</v>
      </c>
      <c r="H200" s="406">
        <v>28.5</v>
      </c>
      <c r="I200" s="42"/>
    </row>
    <row r="201" spans="1:13" s="1" customFormat="1" ht="14" customHeight="1">
      <c r="A201" s="1" t="s">
        <v>166</v>
      </c>
      <c r="B201" s="136" t="s">
        <v>5</v>
      </c>
      <c r="C201" s="408">
        <v>30.62</v>
      </c>
      <c r="D201" s="408">
        <v>32.14</v>
      </c>
      <c r="E201" s="408">
        <v>35.659999999999997</v>
      </c>
      <c r="F201" s="409">
        <v>36.86</v>
      </c>
      <c r="G201" s="408">
        <v>38.54</v>
      </c>
      <c r="H201" s="408">
        <v>40.47</v>
      </c>
      <c r="I201" s="42"/>
    </row>
    <row r="202" spans="1:13" s="1" customFormat="1" ht="14" customHeight="1">
      <c r="A202" s="1" t="s">
        <v>165</v>
      </c>
      <c r="B202" s="136" t="s">
        <v>22</v>
      </c>
      <c r="C202" s="404">
        <v>80</v>
      </c>
      <c r="D202" s="404">
        <v>60</v>
      </c>
      <c r="E202" s="404">
        <v>62</v>
      </c>
      <c r="F202" s="405">
        <v>62</v>
      </c>
      <c r="G202" s="404">
        <v>62</v>
      </c>
      <c r="H202" s="404">
        <v>62</v>
      </c>
      <c r="I202" s="42"/>
    </row>
    <row r="203" spans="1:13" s="1" customFormat="1" ht="11.25" customHeight="1">
      <c r="A203" s="1" t="s">
        <v>52</v>
      </c>
      <c r="B203" s="136"/>
      <c r="C203" s="402"/>
      <c r="D203" s="402"/>
      <c r="E203" s="402"/>
      <c r="F203" s="403"/>
      <c r="G203" s="402"/>
      <c r="H203" s="402"/>
      <c r="I203" s="42"/>
    </row>
    <row r="204" spans="1:13" s="1" customFormat="1" ht="11.25" customHeight="1">
      <c r="B204" s="136"/>
      <c r="C204" s="402"/>
      <c r="D204" s="402"/>
      <c r="E204" s="402"/>
      <c r="F204" s="403"/>
      <c r="G204" s="402"/>
      <c r="H204" s="402"/>
      <c r="I204" s="42"/>
    </row>
    <row r="205" spans="1:13" s="39" customFormat="1" ht="14.25" customHeight="1">
      <c r="A205" s="39" t="s">
        <v>282</v>
      </c>
      <c r="B205" s="255" t="s">
        <v>212</v>
      </c>
      <c r="C205" s="216">
        <v>9213</v>
      </c>
      <c r="D205" s="216">
        <v>10674</v>
      </c>
      <c r="E205" s="216">
        <v>9500</v>
      </c>
      <c r="F205" s="216">
        <v>10329</v>
      </c>
      <c r="G205" s="216">
        <v>11358</v>
      </c>
      <c r="H205" s="216">
        <v>12543</v>
      </c>
      <c r="I205" s="43"/>
    </row>
    <row r="206" spans="1:13" s="1" customFormat="1" ht="14" customHeight="1">
      <c r="A206" s="1" t="s">
        <v>53</v>
      </c>
      <c r="B206" s="136" t="s">
        <v>24</v>
      </c>
      <c r="C206" s="404">
        <v>8524</v>
      </c>
      <c r="D206" s="404">
        <v>10083</v>
      </c>
      <c r="E206" s="404">
        <v>7700</v>
      </c>
      <c r="F206" s="405">
        <v>8100</v>
      </c>
      <c r="G206" s="404">
        <v>8520</v>
      </c>
      <c r="H206" s="404">
        <v>8960</v>
      </c>
      <c r="I206" s="42"/>
    </row>
    <row r="207" spans="1:13" s="1" customFormat="1" ht="14" customHeight="1">
      <c r="A207" s="1" t="s">
        <v>54</v>
      </c>
      <c r="B207" s="136" t="s">
        <v>51</v>
      </c>
      <c r="C207" s="406">
        <v>30.9</v>
      </c>
      <c r="D207" s="406">
        <v>28.31</v>
      </c>
      <c r="E207" s="406">
        <v>30.75</v>
      </c>
      <c r="F207" s="407">
        <v>30.75</v>
      </c>
      <c r="G207" s="406">
        <v>30.75</v>
      </c>
      <c r="H207" s="406">
        <v>30.75</v>
      </c>
      <c r="I207" s="42"/>
    </row>
    <row r="208" spans="1:13" s="1" customFormat="1" ht="13.65" customHeight="1">
      <c r="A208" s="1" t="s">
        <v>167</v>
      </c>
      <c r="B208" s="136" t="s">
        <v>5</v>
      </c>
      <c r="C208" s="408">
        <v>34.979999999999997</v>
      </c>
      <c r="D208" s="408">
        <v>37.4</v>
      </c>
      <c r="E208" s="408">
        <v>40.119999999999997</v>
      </c>
      <c r="F208" s="409">
        <v>41.47</v>
      </c>
      <c r="G208" s="408">
        <v>43.35</v>
      </c>
      <c r="H208" s="408">
        <v>45.53</v>
      </c>
      <c r="I208" s="42"/>
    </row>
    <row r="209" spans="1:10" s="1" customFormat="1" ht="13.5" customHeight="1">
      <c r="A209" s="1" t="s">
        <v>165</v>
      </c>
      <c r="B209" s="136" t="s">
        <v>22</v>
      </c>
      <c r="C209" s="404">
        <v>92</v>
      </c>
      <c r="D209" s="404">
        <v>69.900000000000006</v>
      </c>
      <c r="E209" s="404">
        <v>69.8</v>
      </c>
      <c r="F209" s="405">
        <v>69.8</v>
      </c>
      <c r="G209" s="404">
        <v>69.8</v>
      </c>
      <c r="H209" s="404">
        <v>69.8</v>
      </c>
      <c r="I209" s="42"/>
    </row>
    <row r="210" spans="1:10" s="1" customFormat="1" ht="13.5" customHeight="1">
      <c r="A210" s="1" t="s">
        <v>52</v>
      </c>
      <c r="B210" s="136"/>
      <c r="C210" s="402"/>
      <c r="D210" s="402"/>
      <c r="E210" s="402"/>
      <c r="F210" s="403"/>
      <c r="G210" s="402"/>
      <c r="H210" s="402"/>
      <c r="I210" s="42"/>
    </row>
    <row r="211" spans="1:10" s="1" customFormat="1" ht="13.5" customHeight="1">
      <c r="A211" s="1" t="s">
        <v>283</v>
      </c>
      <c r="B211" s="136" t="s">
        <v>212</v>
      </c>
      <c r="C211" s="64">
        <v>334.4</v>
      </c>
      <c r="D211" s="64">
        <v>325</v>
      </c>
      <c r="E211" s="64">
        <v>355</v>
      </c>
      <c r="F211" s="216">
        <v>370</v>
      </c>
      <c r="G211" s="64">
        <v>387</v>
      </c>
      <c r="H211" s="64">
        <v>406</v>
      </c>
      <c r="I211" s="42"/>
    </row>
    <row r="212" spans="1:10" s="1" customFormat="1" ht="13.5" customHeight="1">
      <c r="A212" s="1" t="s">
        <v>284</v>
      </c>
      <c r="B212" s="136"/>
      <c r="C212" s="64"/>
      <c r="D212" s="64"/>
      <c r="E212" s="64"/>
      <c r="F212" s="64"/>
      <c r="G212" s="64"/>
      <c r="H212" s="64"/>
      <c r="I212" s="64"/>
    </row>
    <row r="213" spans="1:10" s="1" customFormat="1" ht="13.5" customHeight="1">
      <c r="A213" s="1" t="s">
        <v>276</v>
      </c>
      <c r="B213" s="136"/>
      <c r="C213" s="64"/>
      <c r="D213" s="64"/>
      <c r="E213" s="64"/>
      <c r="F213" s="216"/>
      <c r="G213" s="64"/>
      <c r="H213" s="64"/>
      <c r="I213" s="42"/>
    </row>
    <row r="214" spans="1:10" s="1" customFormat="1" ht="13.5" customHeight="1">
      <c r="A214" s="1" t="s">
        <v>283</v>
      </c>
      <c r="B214" s="136" t="s">
        <v>212</v>
      </c>
      <c r="C214" s="64">
        <v>-20.6</v>
      </c>
      <c r="D214" s="64">
        <v>-9.5</v>
      </c>
      <c r="E214" s="64">
        <v>30</v>
      </c>
      <c r="F214" s="216">
        <v>15</v>
      </c>
      <c r="G214" s="64">
        <v>17</v>
      </c>
      <c r="H214" s="64">
        <v>19</v>
      </c>
      <c r="I214" s="42"/>
    </row>
    <row r="215" spans="1:10" s="1" customFormat="1" ht="13.5" customHeight="1">
      <c r="A215" s="1" t="s">
        <v>284</v>
      </c>
      <c r="B215" s="136"/>
      <c r="C215" s="402"/>
      <c r="D215" s="402"/>
      <c r="E215" s="402"/>
      <c r="F215" s="403"/>
      <c r="G215" s="402"/>
      <c r="H215" s="402"/>
      <c r="I215" s="42"/>
    </row>
    <row r="216" spans="1:10" s="1" customFormat="1" ht="13.5" customHeight="1">
      <c r="A216" s="1" t="s">
        <v>277</v>
      </c>
      <c r="B216" s="136"/>
      <c r="C216" s="402"/>
      <c r="D216" s="402"/>
      <c r="E216" s="402"/>
      <c r="F216" s="403"/>
      <c r="G216" s="402"/>
      <c r="H216" s="402"/>
      <c r="I216" s="42"/>
    </row>
    <row r="217" spans="1:10" s="1" customFormat="1" ht="7.5" customHeight="1">
      <c r="B217" s="136"/>
      <c r="C217" s="402"/>
      <c r="D217" s="402"/>
      <c r="E217" s="402"/>
      <c r="F217" s="403"/>
      <c r="G217" s="402"/>
      <c r="H217" s="402"/>
      <c r="I217" s="42"/>
    </row>
    <row r="218" spans="1:10" s="1" customFormat="1" ht="12.75" customHeight="1">
      <c r="A218" s="39" t="s">
        <v>502</v>
      </c>
      <c r="B218" s="255" t="s">
        <v>212</v>
      </c>
      <c r="C218" s="216">
        <v>423.5</v>
      </c>
      <c r="D218" s="216">
        <v>588</v>
      </c>
      <c r="E218" s="216">
        <v>534</v>
      </c>
      <c r="F218" s="216">
        <v>561</v>
      </c>
      <c r="G218" s="216">
        <v>582</v>
      </c>
      <c r="H218" s="216">
        <v>611</v>
      </c>
      <c r="I218" s="42"/>
      <c r="J218" s="64"/>
    </row>
    <row r="219" spans="1:10" s="1" customFormat="1" ht="12.75" customHeight="1">
      <c r="A219" s="256" t="s">
        <v>274</v>
      </c>
      <c r="B219" s="255"/>
      <c r="C219" s="216"/>
      <c r="D219" s="216"/>
      <c r="E219" s="216"/>
      <c r="F219" s="216"/>
      <c r="G219" s="216"/>
      <c r="H219" s="216"/>
      <c r="I219" s="42"/>
    </row>
    <row r="220" spans="1:10" s="1" customFormat="1">
      <c r="B220" s="136"/>
      <c r="C220" s="64"/>
      <c r="D220" s="64"/>
      <c r="E220" s="64"/>
      <c r="F220" s="216"/>
      <c r="G220" s="64"/>
      <c r="H220" s="64"/>
      <c r="I220" s="42"/>
    </row>
    <row r="221" spans="1:10" s="1" customFormat="1" ht="12.75" customHeight="1">
      <c r="A221" s="39" t="s">
        <v>285</v>
      </c>
      <c r="B221" s="255" t="s">
        <v>212</v>
      </c>
      <c r="C221" s="405">
        <v>160</v>
      </c>
      <c r="D221" s="405">
        <v>204</v>
      </c>
      <c r="E221" s="405">
        <v>171</v>
      </c>
      <c r="F221" s="405">
        <v>180</v>
      </c>
      <c r="G221" s="405">
        <v>187</v>
      </c>
      <c r="H221" s="405">
        <v>196</v>
      </c>
      <c r="I221" s="42"/>
    </row>
    <row r="222" spans="1:10" s="1" customFormat="1" ht="14" customHeight="1">
      <c r="A222" s="1" t="s">
        <v>55</v>
      </c>
      <c r="B222" s="136" t="s">
        <v>24</v>
      </c>
      <c r="C222" s="404">
        <v>95</v>
      </c>
      <c r="D222" s="404">
        <v>101</v>
      </c>
      <c r="E222" s="404">
        <v>95</v>
      </c>
      <c r="F222" s="405">
        <v>95</v>
      </c>
      <c r="G222" s="404">
        <v>95</v>
      </c>
      <c r="H222" s="404">
        <v>95</v>
      </c>
      <c r="I222" s="42"/>
    </row>
    <row r="223" spans="1:10" s="1" customFormat="1" ht="14" customHeight="1">
      <c r="A223" s="1" t="s">
        <v>56</v>
      </c>
      <c r="B223" s="136" t="s">
        <v>5</v>
      </c>
      <c r="C223" s="408">
        <v>1556.19</v>
      </c>
      <c r="D223" s="408">
        <v>1926.9</v>
      </c>
      <c r="E223" s="408">
        <v>1635.44</v>
      </c>
      <c r="F223" s="409">
        <v>1722.05</v>
      </c>
      <c r="G223" s="408">
        <v>1790.21</v>
      </c>
      <c r="H223" s="408">
        <v>1875.83</v>
      </c>
      <c r="I223" s="42"/>
    </row>
    <row r="224" spans="1:10" s="1" customFormat="1" ht="14" customHeight="1">
      <c r="A224" s="1" t="s">
        <v>57</v>
      </c>
      <c r="B224" s="136" t="s">
        <v>24</v>
      </c>
      <c r="C224" s="404">
        <v>4</v>
      </c>
      <c r="D224" s="404">
        <v>5</v>
      </c>
      <c r="E224" s="404">
        <v>5</v>
      </c>
      <c r="F224" s="405">
        <v>5</v>
      </c>
      <c r="G224" s="404">
        <v>5</v>
      </c>
      <c r="H224" s="404">
        <v>5</v>
      </c>
      <c r="I224" s="42"/>
    </row>
    <row r="225" spans="1:9" s="1" customFormat="1" ht="14" customHeight="1">
      <c r="A225" s="1" t="s">
        <v>56</v>
      </c>
      <c r="B225" s="136" t="s">
        <v>5</v>
      </c>
      <c r="C225" s="408">
        <v>3026.25</v>
      </c>
      <c r="D225" s="408">
        <v>1909.3</v>
      </c>
      <c r="E225" s="408">
        <v>3052.83</v>
      </c>
      <c r="F225" s="409">
        <v>3214.5</v>
      </c>
      <c r="G225" s="408">
        <v>3341.7</v>
      </c>
      <c r="H225" s="408">
        <v>3501.6</v>
      </c>
      <c r="I225" s="42"/>
    </row>
    <row r="226" spans="1:9" s="1" customFormat="1" ht="9" customHeight="1">
      <c r="B226" s="136"/>
      <c r="C226" s="402"/>
      <c r="D226" s="402"/>
      <c r="E226" s="402"/>
      <c r="F226" s="403"/>
      <c r="G226" s="402"/>
      <c r="H226" s="402"/>
      <c r="I226" s="42"/>
    </row>
    <row r="227" spans="1:9" s="1" customFormat="1" ht="12" customHeight="1">
      <c r="A227" s="39" t="s">
        <v>286</v>
      </c>
      <c r="B227" s="255" t="s">
        <v>212</v>
      </c>
      <c r="C227" s="216">
        <v>272</v>
      </c>
      <c r="D227" s="216">
        <v>378</v>
      </c>
      <c r="E227" s="216">
        <v>359</v>
      </c>
      <c r="F227" s="216">
        <v>379</v>
      </c>
      <c r="G227" s="216">
        <v>393</v>
      </c>
      <c r="H227" s="216">
        <v>412</v>
      </c>
      <c r="I227" s="42"/>
    </row>
    <row r="228" spans="1:9" s="1" customFormat="1" ht="14" customHeight="1">
      <c r="A228" s="1" t="s">
        <v>55</v>
      </c>
      <c r="B228" s="136" t="s">
        <v>24</v>
      </c>
      <c r="C228" s="404">
        <v>66</v>
      </c>
      <c r="D228" s="404">
        <v>89</v>
      </c>
      <c r="E228" s="404">
        <v>75</v>
      </c>
      <c r="F228" s="405">
        <v>75</v>
      </c>
      <c r="G228" s="404">
        <v>75</v>
      </c>
      <c r="H228" s="404">
        <v>75</v>
      </c>
      <c r="I228" s="42"/>
    </row>
    <row r="229" spans="1:9" s="1" customFormat="1" ht="14" customHeight="1">
      <c r="A229" s="1" t="s">
        <v>56</v>
      </c>
      <c r="B229" s="136" t="s">
        <v>5</v>
      </c>
      <c r="C229" s="408">
        <v>3216.92</v>
      </c>
      <c r="D229" s="408">
        <v>3536.8</v>
      </c>
      <c r="E229" s="408">
        <v>3597.97</v>
      </c>
      <c r="F229" s="409">
        <v>3788.5</v>
      </c>
      <c r="G229" s="408">
        <v>3938.46</v>
      </c>
      <c r="H229" s="408">
        <v>4126.83</v>
      </c>
      <c r="I229" s="42"/>
    </row>
    <row r="230" spans="1:9" s="1" customFormat="1" ht="14" customHeight="1">
      <c r="A230" s="1" t="s">
        <v>57</v>
      </c>
      <c r="B230" s="136" t="s">
        <v>24</v>
      </c>
      <c r="C230" s="404">
        <v>9</v>
      </c>
      <c r="D230" s="404">
        <v>10</v>
      </c>
      <c r="E230" s="404">
        <v>10</v>
      </c>
      <c r="F230" s="405">
        <v>10</v>
      </c>
      <c r="G230" s="404">
        <v>10</v>
      </c>
      <c r="H230" s="404">
        <v>10</v>
      </c>
      <c r="I230" s="42"/>
    </row>
    <row r="231" spans="1:9" s="1" customFormat="1" ht="14" customHeight="1">
      <c r="A231" s="1" t="s">
        <v>56</v>
      </c>
      <c r="B231" s="136" t="s">
        <v>5</v>
      </c>
      <c r="C231" s="408">
        <v>6639.33</v>
      </c>
      <c r="D231" s="408">
        <v>6333.68</v>
      </c>
      <c r="E231" s="408">
        <v>8961.7800000000007</v>
      </c>
      <c r="F231" s="409">
        <v>9436.34</v>
      </c>
      <c r="G231" s="408">
        <v>9809.85</v>
      </c>
      <c r="H231" s="408">
        <v>10279.049999999999</v>
      </c>
      <c r="I231" s="42"/>
    </row>
    <row r="232" spans="1:9" s="1" customFormat="1" ht="14" customHeight="1">
      <c r="A232" s="1" t="s">
        <v>275</v>
      </c>
      <c r="B232" s="136" t="s">
        <v>212</v>
      </c>
      <c r="C232" s="404">
        <v>37.4</v>
      </c>
      <c r="D232" s="404">
        <v>43.6</v>
      </c>
      <c r="E232" s="404">
        <v>47.6</v>
      </c>
      <c r="F232" s="405">
        <v>49.6</v>
      </c>
      <c r="G232" s="404">
        <v>51.8</v>
      </c>
      <c r="H232" s="404">
        <v>54.4</v>
      </c>
      <c r="I232" s="42"/>
    </row>
    <row r="233" spans="1:9" s="1" customFormat="1" ht="14" customHeight="1">
      <c r="A233" s="1" t="s">
        <v>276</v>
      </c>
      <c r="B233" s="136"/>
      <c r="C233" s="408"/>
      <c r="D233" s="408"/>
      <c r="E233" s="408"/>
      <c r="F233" s="409"/>
      <c r="G233" s="408"/>
      <c r="H233" s="408"/>
      <c r="I233" s="42"/>
    </row>
    <row r="234" spans="1:9" s="1" customFormat="1" ht="14" customHeight="1">
      <c r="A234" s="1" t="s">
        <v>275</v>
      </c>
      <c r="B234" s="136" t="s">
        <v>212</v>
      </c>
      <c r="C234" s="404">
        <v>-8.5</v>
      </c>
      <c r="D234" s="404">
        <v>6.1</v>
      </c>
      <c r="E234" s="404">
        <v>4.0999999999999996</v>
      </c>
      <c r="F234" s="405">
        <v>2</v>
      </c>
      <c r="G234" s="404">
        <v>2.2000000000000002</v>
      </c>
      <c r="H234" s="404">
        <v>2.6</v>
      </c>
      <c r="I234" s="42"/>
    </row>
    <row r="235" spans="1:9" s="1" customFormat="1" ht="14" customHeight="1">
      <c r="A235" s="1" t="s">
        <v>277</v>
      </c>
      <c r="B235" s="136"/>
      <c r="C235" s="408"/>
      <c r="D235" s="408"/>
      <c r="E235" s="408"/>
      <c r="F235" s="409"/>
      <c r="G235" s="408"/>
      <c r="H235" s="408"/>
      <c r="I235" s="42"/>
    </row>
    <row r="236" spans="1:9" s="1" customFormat="1" ht="10.5" customHeight="1">
      <c r="B236" s="136"/>
      <c r="C236" s="402"/>
      <c r="D236" s="402"/>
      <c r="E236" s="402"/>
      <c r="F236" s="410"/>
      <c r="G236" s="411"/>
      <c r="H236" s="411"/>
      <c r="I236" s="42"/>
    </row>
    <row r="237" spans="1:9" s="1" customFormat="1" ht="14" customHeight="1">
      <c r="A237" s="39" t="s">
        <v>503</v>
      </c>
      <c r="B237" s="255" t="s">
        <v>212</v>
      </c>
      <c r="C237" s="412">
        <v>14188</v>
      </c>
      <c r="D237" s="412">
        <v>15126</v>
      </c>
      <c r="E237" s="412">
        <v>16700</v>
      </c>
      <c r="F237" s="412">
        <v>17470</v>
      </c>
      <c r="G237" s="412">
        <v>18346</v>
      </c>
      <c r="H237" s="412">
        <v>19353</v>
      </c>
      <c r="I237" s="42"/>
    </row>
    <row r="238" spans="1:9" s="39" customFormat="1" ht="14.25" customHeight="1">
      <c r="A238" s="1" t="s">
        <v>58</v>
      </c>
      <c r="B238" s="136" t="s">
        <v>24</v>
      </c>
      <c r="C238" s="404">
        <v>6386</v>
      </c>
      <c r="D238" s="404">
        <v>6388</v>
      </c>
      <c r="E238" s="404">
        <v>6420</v>
      </c>
      <c r="F238" s="405">
        <v>6450</v>
      </c>
      <c r="G238" s="404">
        <v>6480</v>
      </c>
      <c r="H238" s="404">
        <v>6510</v>
      </c>
      <c r="I238" s="43"/>
    </row>
    <row r="239" spans="1:9" s="1" customFormat="1" ht="14" customHeight="1">
      <c r="A239" s="1" t="s">
        <v>59</v>
      </c>
      <c r="B239" s="136" t="s">
        <v>2</v>
      </c>
      <c r="C239" s="413">
        <v>69396</v>
      </c>
      <c r="D239" s="413">
        <v>69934</v>
      </c>
      <c r="E239" s="413">
        <v>70620</v>
      </c>
      <c r="F239" s="414">
        <v>70950</v>
      </c>
      <c r="G239" s="413">
        <v>71280</v>
      </c>
      <c r="H239" s="413">
        <v>71610</v>
      </c>
      <c r="I239" s="42"/>
    </row>
    <row r="240" spans="1:9" s="1" customFormat="1" ht="14" customHeight="1">
      <c r="A240" s="1" t="s">
        <v>60</v>
      </c>
      <c r="B240" s="136" t="s">
        <v>5</v>
      </c>
      <c r="C240" s="408">
        <v>204.45</v>
      </c>
      <c r="D240" s="408">
        <v>216.29</v>
      </c>
      <c r="E240" s="408">
        <v>236.47</v>
      </c>
      <c r="F240" s="409">
        <v>246.23</v>
      </c>
      <c r="G240" s="408">
        <v>257.38</v>
      </c>
      <c r="H240" s="408">
        <v>270.26</v>
      </c>
      <c r="I240" s="42"/>
    </row>
    <row r="241" spans="1:9" s="1" customFormat="1" ht="9" customHeight="1">
      <c r="B241" s="136"/>
      <c r="C241" s="402"/>
      <c r="D241" s="402"/>
      <c r="E241" s="402"/>
      <c r="F241" s="403"/>
      <c r="G241" s="402"/>
      <c r="H241" s="402"/>
      <c r="I241" s="42"/>
    </row>
    <row r="242" spans="1:9" s="1" customFormat="1" ht="14" customHeight="1">
      <c r="A242" s="39" t="s">
        <v>504</v>
      </c>
      <c r="B242" s="255" t="s">
        <v>212</v>
      </c>
      <c r="C242" s="412">
        <v>1877</v>
      </c>
      <c r="D242" s="412">
        <v>1855</v>
      </c>
      <c r="E242" s="412">
        <v>2141</v>
      </c>
      <c r="F242" s="412">
        <v>2214</v>
      </c>
      <c r="G242" s="412">
        <v>2315</v>
      </c>
      <c r="H242" s="412">
        <v>2432</v>
      </c>
      <c r="I242" s="42"/>
    </row>
    <row r="243" spans="1:9" s="1" customFormat="1" ht="14" customHeight="1">
      <c r="A243" s="39" t="s">
        <v>505</v>
      </c>
      <c r="B243" s="255"/>
      <c r="C243" s="412"/>
      <c r="D243" s="412"/>
      <c r="E243" s="412"/>
      <c r="F243" s="412"/>
      <c r="G243" s="412"/>
      <c r="H243" s="412"/>
      <c r="I243" s="42"/>
    </row>
    <row r="244" spans="1:9" s="1" customFormat="1" ht="9.75" customHeight="1">
      <c r="A244" s="39"/>
      <c r="B244" s="255"/>
      <c r="C244" s="412"/>
      <c r="D244" s="412"/>
      <c r="E244" s="412"/>
      <c r="F244" s="412"/>
      <c r="G244" s="412"/>
      <c r="H244" s="412"/>
      <c r="I244" s="42"/>
    </row>
    <row r="245" spans="1:9" s="1" customFormat="1" ht="14" customHeight="1">
      <c r="A245" s="1" t="s">
        <v>61</v>
      </c>
      <c r="B245" s="136" t="s">
        <v>24</v>
      </c>
      <c r="C245" s="404">
        <v>37</v>
      </c>
      <c r="D245" s="404">
        <v>40</v>
      </c>
      <c r="E245" s="404">
        <v>40</v>
      </c>
      <c r="F245" s="405">
        <v>40</v>
      </c>
      <c r="G245" s="404">
        <v>40</v>
      </c>
      <c r="H245" s="404">
        <v>40</v>
      </c>
      <c r="I245" s="42"/>
    </row>
    <row r="246" spans="1:9" s="1" customFormat="1" ht="14" customHeight="1">
      <c r="A246" s="1" t="s">
        <v>62</v>
      </c>
      <c r="B246" s="136" t="s">
        <v>5</v>
      </c>
      <c r="C246" s="408">
        <v>47503.68</v>
      </c>
      <c r="D246" s="408">
        <v>46584.1</v>
      </c>
      <c r="E246" s="408">
        <v>52783.98</v>
      </c>
      <c r="F246" s="409">
        <v>54962.52</v>
      </c>
      <c r="G246" s="408">
        <v>57450.15</v>
      </c>
      <c r="H246" s="408">
        <v>60325.08</v>
      </c>
      <c r="I246" s="42"/>
    </row>
    <row r="247" spans="1:9" s="1" customFormat="1" ht="14" customHeight="1">
      <c r="A247" s="1" t="s">
        <v>278</v>
      </c>
      <c r="B247" s="136" t="s">
        <v>212</v>
      </c>
      <c r="C247" s="404">
        <v>331.9</v>
      </c>
      <c r="D247" s="404">
        <v>324</v>
      </c>
      <c r="E247" s="404">
        <v>354</v>
      </c>
      <c r="F247" s="405">
        <v>368</v>
      </c>
      <c r="G247" s="404">
        <v>385</v>
      </c>
      <c r="H247" s="404">
        <v>404</v>
      </c>
      <c r="I247" s="42"/>
    </row>
    <row r="248" spans="1:9" s="1" customFormat="1" ht="14" customHeight="1">
      <c r="A248" s="1" t="s">
        <v>279</v>
      </c>
      <c r="B248" s="136"/>
      <c r="C248" s="408"/>
      <c r="D248" s="408"/>
      <c r="E248" s="408"/>
      <c r="F248" s="408"/>
      <c r="G248" s="408"/>
      <c r="H248" s="408"/>
      <c r="I248" s="42"/>
    </row>
    <row r="249" spans="1:9" s="1" customFormat="1" ht="14" customHeight="1">
      <c r="A249" s="1" t="s">
        <v>278</v>
      </c>
      <c r="B249" s="136" t="s">
        <v>212</v>
      </c>
      <c r="C249" s="404">
        <v>118.9</v>
      </c>
      <c r="D249" s="404">
        <v>-8.3000000000000007</v>
      </c>
      <c r="E249" s="404">
        <v>30.2</v>
      </c>
      <c r="F249" s="405">
        <v>14.6</v>
      </c>
      <c r="G249" s="404">
        <v>16.7</v>
      </c>
      <c r="H249" s="404">
        <v>19.3</v>
      </c>
      <c r="I249" s="42"/>
    </row>
    <row r="250" spans="1:9" s="1" customFormat="1">
      <c r="A250" s="1" t="s">
        <v>280</v>
      </c>
      <c r="B250" s="136"/>
      <c r="C250" s="402"/>
      <c r="D250" s="402"/>
      <c r="E250" s="402"/>
      <c r="F250" s="403"/>
      <c r="G250" s="402"/>
      <c r="H250" s="402"/>
      <c r="I250" s="42"/>
    </row>
    <row r="251" spans="1:9" s="116" customFormat="1" ht="7.5" customHeight="1">
      <c r="A251" s="212"/>
      <c r="B251" s="207"/>
      <c r="C251" s="215"/>
      <c r="D251" s="215"/>
      <c r="E251" s="215"/>
      <c r="F251" s="215"/>
      <c r="G251" s="215"/>
      <c r="H251" s="26"/>
      <c r="I251" s="133"/>
    </row>
    <row r="252" spans="1:9" s="1" customFormat="1" ht="14" customHeight="1">
      <c r="A252" s="39" t="s">
        <v>506</v>
      </c>
      <c r="B252" s="255" t="s">
        <v>212</v>
      </c>
      <c r="C252" s="216">
        <v>478</v>
      </c>
      <c r="D252" s="216">
        <v>435</v>
      </c>
      <c r="E252" s="216">
        <v>430</v>
      </c>
      <c r="F252" s="216">
        <v>435</v>
      </c>
      <c r="G252" s="216">
        <v>441</v>
      </c>
      <c r="H252" s="216">
        <v>449</v>
      </c>
      <c r="I252" s="42"/>
    </row>
    <row r="253" spans="1:9" s="1" customFormat="1" ht="14" customHeight="1">
      <c r="A253" s="1" t="s">
        <v>63</v>
      </c>
      <c r="B253" s="136" t="s">
        <v>24</v>
      </c>
      <c r="C253" s="413">
        <v>402</v>
      </c>
      <c r="D253" s="413">
        <v>363</v>
      </c>
      <c r="E253" s="404">
        <v>350</v>
      </c>
      <c r="F253" s="405">
        <v>340</v>
      </c>
      <c r="G253" s="404">
        <v>330</v>
      </c>
      <c r="H253" s="404">
        <v>320</v>
      </c>
      <c r="I253" s="42"/>
    </row>
    <row r="254" spans="1:9" s="1" customFormat="1" ht="14" customHeight="1">
      <c r="A254" s="1" t="s">
        <v>64</v>
      </c>
      <c r="B254" s="136" t="s">
        <v>2</v>
      </c>
      <c r="C254" s="413">
        <v>3072</v>
      </c>
      <c r="D254" s="413">
        <v>2325</v>
      </c>
      <c r="E254" s="413">
        <v>2100</v>
      </c>
      <c r="F254" s="414">
        <v>2040</v>
      </c>
      <c r="G254" s="413">
        <v>1980</v>
      </c>
      <c r="H254" s="413">
        <v>1920</v>
      </c>
      <c r="I254" s="42"/>
    </row>
    <row r="255" spans="1:9" s="1" customFormat="1" ht="14" customHeight="1">
      <c r="A255" s="1" t="s">
        <v>60</v>
      </c>
      <c r="B255" s="136" t="s">
        <v>5</v>
      </c>
      <c r="C255" s="408">
        <v>155.5</v>
      </c>
      <c r="D255" s="408">
        <v>187.12</v>
      </c>
      <c r="E255" s="408">
        <v>204.58</v>
      </c>
      <c r="F255" s="409">
        <v>213.03</v>
      </c>
      <c r="G255" s="408">
        <v>222.67</v>
      </c>
      <c r="H255" s="408">
        <v>233.81</v>
      </c>
      <c r="I255" s="42"/>
    </row>
    <row r="256" spans="1:9" s="1" customFormat="1" ht="15.75" customHeight="1">
      <c r="B256" s="136"/>
      <c r="C256" s="408"/>
      <c r="D256" s="408"/>
      <c r="E256" s="408"/>
      <c r="F256" s="409"/>
      <c r="G256" s="408"/>
      <c r="H256" s="408"/>
      <c r="I256" s="42"/>
    </row>
    <row r="257" spans="1:9" s="116" customFormat="1" ht="15" customHeight="1">
      <c r="A257" s="205"/>
      <c r="B257" s="207"/>
      <c r="C257" s="213"/>
      <c r="D257" s="213"/>
      <c r="E257" s="213"/>
      <c r="F257" s="213"/>
      <c r="G257" s="213"/>
      <c r="H257" s="26" t="s">
        <v>19</v>
      </c>
      <c r="I257" s="133"/>
    </row>
    <row r="258" spans="1:9" s="116" customFormat="1" ht="17.25" customHeight="1">
      <c r="A258" s="212"/>
      <c r="B258" s="207"/>
      <c r="C258" s="215"/>
      <c r="D258" s="215"/>
      <c r="E258" s="215"/>
      <c r="F258" s="215"/>
      <c r="G258" s="215"/>
      <c r="H258" s="26" t="s">
        <v>0</v>
      </c>
      <c r="I258" s="133"/>
    </row>
    <row r="259" spans="1:9" ht="21" customHeight="1">
      <c r="A259" s="232"/>
      <c r="B259" s="448" t="s">
        <v>1</v>
      </c>
      <c r="C259" s="446" t="s">
        <v>345</v>
      </c>
      <c r="D259" s="446" t="s">
        <v>398</v>
      </c>
      <c r="E259" s="446" t="s">
        <v>399</v>
      </c>
      <c r="F259" s="444" t="s">
        <v>400</v>
      </c>
      <c r="G259" s="446" t="s">
        <v>346</v>
      </c>
      <c r="H259" s="446" t="s">
        <v>401</v>
      </c>
    </row>
    <row r="260" spans="1:9" ht="14.25" customHeight="1">
      <c r="A260" s="233"/>
      <c r="B260" s="449" t="s">
        <v>2</v>
      </c>
      <c r="C260" s="450"/>
      <c r="D260" s="450"/>
      <c r="E260" s="450"/>
      <c r="F260" s="445"/>
      <c r="G260" s="447"/>
      <c r="H260" s="447"/>
    </row>
    <row r="261" spans="1:9" s="1" customFormat="1">
      <c r="B261" s="136"/>
      <c r="C261" s="402"/>
      <c r="D261" s="402"/>
      <c r="E261" s="64"/>
      <c r="F261" s="410"/>
      <c r="G261" s="411"/>
      <c r="H261" s="411"/>
      <c r="I261" s="42"/>
    </row>
    <row r="262" spans="1:9" ht="14">
      <c r="A262" s="163" t="s">
        <v>327</v>
      </c>
      <c r="B262" s="35" t="s">
        <v>212</v>
      </c>
      <c r="C262" s="415">
        <v>192387</v>
      </c>
      <c r="D262" s="415">
        <v>2832</v>
      </c>
      <c r="E262" s="416" t="s">
        <v>213</v>
      </c>
      <c r="F262" s="416" t="s">
        <v>213</v>
      </c>
      <c r="G262" s="416" t="s">
        <v>213</v>
      </c>
      <c r="H262" s="416" t="s">
        <v>213</v>
      </c>
      <c r="I262" s="62"/>
    </row>
    <row r="263" spans="1:9" ht="17.25" customHeight="1">
      <c r="A263" s="65" t="s">
        <v>139</v>
      </c>
      <c r="B263" s="31"/>
    </row>
    <row r="264" spans="1:9" ht="13.5" customHeight="1">
      <c r="A264" s="44"/>
      <c r="B264" s="35"/>
      <c r="C264" s="417"/>
      <c r="D264" s="417"/>
      <c r="E264" s="417"/>
      <c r="F264" s="417"/>
      <c r="G264" s="417"/>
      <c r="H264" s="417"/>
      <c r="I264" s="62"/>
    </row>
    <row r="265" spans="1:9" ht="14">
      <c r="A265" s="65" t="s">
        <v>138</v>
      </c>
      <c r="B265" s="35" t="s">
        <v>212</v>
      </c>
      <c r="C265" s="415">
        <v>8956</v>
      </c>
      <c r="D265" s="415">
        <v>1706</v>
      </c>
      <c r="E265" s="415">
        <v>20000</v>
      </c>
      <c r="F265" s="415">
        <v>8000</v>
      </c>
      <c r="G265" s="415">
        <v>8000</v>
      </c>
      <c r="H265" s="415">
        <v>8000</v>
      </c>
      <c r="I265" s="62"/>
    </row>
    <row r="266" spans="1:9" ht="14.25" customHeight="1">
      <c r="A266" s="65" t="s">
        <v>139</v>
      </c>
      <c r="B266" s="31"/>
    </row>
    <row r="267" spans="1:9" ht="9.75" customHeight="1">
      <c r="A267" s="4"/>
      <c r="B267" s="5"/>
      <c r="C267" s="418"/>
      <c r="D267" s="418"/>
      <c r="E267" s="418"/>
      <c r="F267" s="419"/>
      <c r="G267" s="418"/>
      <c r="H267" s="418"/>
    </row>
    <row r="268" spans="1:9" ht="15">
      <c r="A268" s="6" t="s">
        <v>4</v>
      </c>
      <c r="B268" s="7" t="s">
        <v>212</v>
      </c>
      <c r="C268" s="420">
        <f t="shared" ref="C268:D268" si="44">C276+C292+C294</f>
        <v>74614</v>
      </c>
      <c r="D268" s="420">
        <f t="shared" si="44"/>
        <v>75834</v>
      </c>
      <c r="E268" s="420">
        <f>E276+E292+E294</f>
        <v>88740</v>
      </c>
      <c r="F268" s="420">
        <f t="shared" ref="F268:H268" si="45">F276+F292+F294</f>
        <v>95153</v>
      </c>
      <c r="G268" s="420">
        <f t="shared" si="45"/>
        <v>97769</v>
      </c>
      <c r="H268" s="420">
        <f t="shared" si="45"/>
        <v>100636</v>
      </c>
    </row>
    <row r="269" spans="1:9" s="10" customFormat="1" ht="10.5" customHeight="1">
      <c r="A269" s="8"/>
      <c r="B269" s="9"/>
      <c r="C269" s="421"/>
      <c r="D269" s="421"/>
      <c r="E269" s="421"/>
      <c r="F269" s="422"/>
      <c r="G269" s="421"/>
      <c r="H269" s="421"/>
    </row>
    <row r="270" spans="1:9" ht="13.5" customHeight="1">
      <c r="A270" s="11" t="s">
        <v>6</v>
      </c>
      <c r="B270" s="7" t="s">
        <v>212</v>
      </c>
      <c r="C270" s="423">
        <f t="shared" ref="C270" si="46">C268-C272-C273-C274</f>
        <v>63105</v>
      </c>
      <c r="D270" s="423">
        <f t="shared" ref="D270:G270" si="47">D268-D272-D273-D274</f>
        <v>65878</v>
      </c>
      <c r="E270" s="423">
        <f t="shared" si="47"/>
        <v>77020</v>
      </c>
      <c r="F270" s="423">
        <f t="shared" si="47"/>
        <v>80753</v>
      </c>
      <c r="G270" s="423">
        <f t="shared" si="47"/>
        <v>82769</v>
      </c>
      <c r="H270" s="423">
        <f>H268-H272-H273-H274</f>
        <v>84836</v>
      </c>
    </row>
    <row r="271" spans="1:9" ht="15.75" customHeight="1">
      <c r="A271" s="11"/>
      <c r="B271" s="7"/>
      <c r="C271" s="421"/>
      <c r="D271" s="421"/>
      <c r="E271" s="421"/>
      <c r="F271" s="421"/>
      <c r="G271" s="421"/>
      <c r="H271" s="421"/>
    </row>
    <row r="272" spans="1:9" ht="15" customHeight="1">
      <c r="A272" s="12" t="s">
        <v>7</v>
      </c>
      <c r="B272" s="13" t="s">
        <v>212</v>
      </c>
      <c r="C272" s="424">
        <f>C290</f>
        <v>7506</v>
      </c>
      <c r="D272" s="424">
        <f>D290</f>
        <v>6201</v>
      </c>
      <c r="E272" s="424">
        <f t="shared" ref="E272:H272" si="48">E290</f>
        <v>6600</v>
      </c>
      <c r="F272" s="425">
        <f t="shared" si="48"/>
        <v>7100</v>
      </c>
      <c r="G272" s="424">
        <f t="shared" si="48"/>
        <v>7500</v>
      </c>
      <c r="H272" s="424">
        <f t="shared" si="48"/>
        <v>7800</v>
      </c>
    </row>
    <row r="273" spans="1:9" ht="15" customHeight="1">
      <c r="A273" s="12" t="s">
        <v>8</v>
      </c>
      <c r="B273" s="13" t="s">
        <v>212</v>
      </c>
      <c r="C273" s="426">
        <f>C292</f>
        <v>4003</v>
      </c>
      <c r="D273" s="426">
        <f>D292</f>
        <v>3222</v>
      </c>
      <c r="E273" s="426">
        <f t="shared" ref="E273:H273" si="49">E292</f>
        <v>4500</v>
      </c>
      <c r="F273" s="427">
        <f t="shared" si="49"/>
        <v>4600</v>
      </c>
      <c r="G273" s="426">
        <f t="shared" si="49"/>
        <v>4600</v>
      </c>
      <c r="H273" s="426">
        <f t="shared" si="49"/>
        <v>4600</v>
      </c>
    </row>
    <row r="274" spans="1:9" ht="15" customHeight="1">
      <c r="A274" s="12" t="s">
        <v>135</v>
      </c>
      <c r="B274" s="13" t="s">
        <v>212</v>
      </c>
      <c r="C274" s="424">
        <f t="shared" ref="C274" si="50">C296</f>
        <v>0</v>
      </c>
      <c r="D274" s="424">
        <f t="shared" ref="D274:H274" si="51">D296</f>
        <v>533</v>
      </c>
      <c r="E274" s="424">
        <f t="shared" si="51"/>
        <v>620</v>
      </c>
      <c r="F274" s="425">
        <f t="shared" si="51"/>
        <v>2700</v>
      </c>
      <c r="G274" s="424">
        <f t="shared" si="51"/>
        <v>2900</v>
      </c>
      <c r="H274" s="424">
        <f t="shared" si="51"/>
        <v>3400</v>
      </c>
    </row>
    <row r="275" spans="1:9">
      <c r="A275" s="14"/>
      <c r="B275" s="7"/>
      <c r="C275" s="391"/>
      <c r="D275" s="391"/>
      <c r="E275" s="391"/>
      <c r="F275" s="15"/>
      <c r="G275" s="391"/>
      <c r="H275" s="391"/>
    </row>
    <row r="276" spans="1:9" s="2" customFormat="1" ht="15.75" customHeight="1">
      <c r="A276" s="16" t="s">
        <v>328</v>
      </c>
      <c r="B276" s="7" t="s">
        <v>212</v>
      </c>
      <c r="C276" s="420">
        <f>C282+C284+C286</f>
        <v>70297</v>
      </c>
      <c r="D276" s="420">
        <f>D282+D284+D286</f>
        <v>70011</v>
      </c>
      <c r="E276" s="420">
        <f>E282+E284+E286</f>
        <v>83498</v>
      </c>
      <c r="F276" s="420">
        <f t="shared" ref="F276:G276" si="52">F282+F284+F286</f>
        <v>87731</v>
      </c>
      <c r="G276" s="420">
        <f t="shared" si="52"/>
        <v>90146</v>
      </c>
      <c r="H276" s="420">
        <f>H282+H284+H286</f>
        <v>92513</v>
      </c>
    </row>
    <row r="277" spans="1:9" ht="12.75" customHeight="1">
      <c r="A277" s="17" t="s">
        <v>329</v>
      </c>
      <c r="B277" s="18"/>
      <c r="C277" s="428"/>
      <c r="D277" s="428"/>
      <c r="E277" s="428"/>
      <c r="F277" s="429"/>
      <c r="G277" s="428"/>
      <c r="H277" s="428"/>
    </row>
    <row r="278" spans="1:9" ht="25.5" customHeight="1">
      <c r="A278" s="19" t="s">
        <v>9</v>
      </c>
      <c r="B278" s="7" t="s">
        <v>212</v>
      </c>
      <c r="C278" s="420">
        <f>C276-C290</f>
        <v>62791</v>
      </c>
      <c r="D278" s="420">
        <f>D276-D290</f>
        <v>63810</v>
      </c>
      <c r="E278" s="420">
        <f>E276-E290</f>
        <v>76898</v>
      </c>
      <c r="F278" s="420">
        <f t="shared" ref="F278:H278" si="53">F276-F290</f>
        <v>80631</v>
      </c>
      <c r="G278" s="420">
        <f t="shared" si="53"/>
        <v>82646</v>
      </c>
      <c r="H278" s="420">
        <f t="shared" si="53"/>
        <v>84713</v>
      </c>
    </row>
    <row r="279" spans="1:9" ht="12" customHeight="1">
      <c r="A279" s="20"/>
      <c r="B279" s="18"/>
      <c r="C279" s="430"/>
      <c r="D279" s="430"/>
      <c r="E279" s="430"/>
      <c r="F279" s="430"/>
      <c r="G279" s="430"/>
      <c r="H279" s="430"/>
    </row>
    <row r="280" spans="1:9" ht="12.75" customHeight="1">
      <c r="A280" s="12" t="s">
        <v>7</v>
      </c>
      <c r="B280" s="13" t="s">
        <v>212</v>
      </c>
      <c r="C280" s="424">
        <f t="shared" ref="C280" si="54">C290</f>
        <v>7506</v>
      </c>
      <c r="D280" s="424">
        <f t="shared" ref="D280:H280" si="55">D290</f>
        <v>6201</v>
      </c>
      <c r="E280" s="424">
        <f t="shared" si="55"/>
        <v>6600</v>
      </c>
      <c r="F280" s="425">
        <f t="shared" si="55"/>
        <v>7100</v>
      </c>
      <c r="G280" s="424">
        <f t="shared" si="55"/>
        <v>7500</v>
      </c>
      <c r="H280" s="424">
        <f t="shared" si="55"/>
        <v>7800</v>
      </c>
    </row>
    <row r="281" spans="1:9" ht="11.25" customHeight="1">
      <c r="A281" s="21"/>
      <c r="B281" s="18"/>
      <c r="C281" s="431"/>
      <c r="D281" s="431"/>
      <c r="E281" s="431"/>
      <c r="F281" s="420"/>
      <c r="G281" s="431"/>
      <c r="H281" s="431"/>
    </row>
    <row r="282" spans="1:9" s="2" customFormat="1" ht="13.5" customHeight="1">
      <c r="A282" s="20" t="s">
        <v>10</v>
      </c>
      <c r="B282" s="7" t="s">
        <v>212</v>
      </c>
      <c r="C282" s="432">
        <v>38321</v>
      </c>
      <c r="D282" s="432">
        <v>53974</v>
      </c>
      <c r="E282" s="432">
        <v>60757</v>
      </c>
      <c r="F282" s="432">
        <v>64086</v>
      </c>
      <c r="G282" s="432">
        <v>65688</v>
      </c>
      <c r="H282" s="432">
        <v>67330</v>
      </c>
    </row>
    <row r="283" spans="1:9" s="2" customFormat="1" ht="12" customHeight="1">
      <c r="A283" s="20"/>
      <c r="B283" s="18"/>
      <c r="C283" s="432"/>
      <c r="D283" s="432"/>
      <c r="E283" s="425"/>
      <c r="F283" s="433"/>
      <c r="G283" s="433"/>
      <c r="H283" s="433"/>
    </row>
    <row r="284" spans="1:9" s="2" customFormat="1" ht="13.5" customHeight="1">
      <c r="A284" s="20" t="s">
        <v>11</v>
      </c>
      <c r="B284" s="7" t="s">
        <v>212</v>
      </c>
      <c r="C284" s="432">
        <v>11683</v>
      </c>
      <c r="D284" s="432">
        <v>634</v>
      </c>
      <c r="E284" s="432">
        <v>893</v>
      </c>
      <c r="F284" s="432">
        <v>929</v>
      </c>
      <c r="G284" s="432">
        <v>952</v>
      </c>
      <c r="H284" s="432">
        <v>976</v>
      </c>
    </row>
    <row r="285" spans="1:9" s="2" customFormat="1" ht="11.25" customHeight="1">
      <c r="A285" s="20"/>
      <c r="B285" s="18"/>
      <c r="C285" s="434"/>
      <c r="D285" s="434"/>
      <c r="E285" s="434"/>
      <c r="F285" s="434"/>
      <c r="G285" s="434"/>
      <c r="H285" s="434"/>
    </row>
    <row r="286" spans="1:9" s="2" customFormat="1" ht="26.25" customHeight="1">
      <c r="A286" s="16" t="s">
        <v>12</v>
      </c>
      <c r="B286" s="7" t="s">
        <v>212</v>
      </c>
      <c r="C286" s="425">
        <v>20293</v>
      </c>
      <c r="D286" s="425">
        <v>15403</v>
      </c>
      <c r="E286" s="425">
        <v>21848</v>
      </c>
      <c r="F286" s="425">
        <v>22716</v>
      </c>
      <c r="G286" s="425">
        <v>23506</v>
      </c>
      <c r="H286" s="425">
        <v>24207</v>
      </c>
      <c r="I286" s="3"/>
    </row>
    <row r="287" spans="1:9" ht="9.75" customHeight="1">
      <c r="A287" s="20"/>
      <c r="B287" s="22"/>
      <c r="C287" s="435"/>
      <c r="D287" s="435"/>
      <c r="E287" s="424"/>
      <c r="F287" s="425"/>
      <c r="G287" s="436"/>
      <c r="H287" s="436"/>
    </row>
    <row r="288" spans="1:9" ht="25.5" customHeight="1">
      <c r="A288" s="16" t="s">
        <v>13</v>
      </c>
      <c r="B288" s="7" t="s">
        <v>212</v>
      </c>
      <c r="C288" s="425">
        <f t="shared" ref="C288" si="56">C286-C290</f>
        <v>12787</v>
      </c>
      <c r="D288" s="425">
        <f t="shared" ref="D288:H288" si="57">D286-D290</f>
        <v>9202</v>
      </c>
      <c r="E288" s="425">
        <f>E286-E290</f>
        <v>15248</v>
      </c>
      <c r="F288" s="425">
        <f>F286-F290</f>
        <v>15616</v>
      </c>
      <c r="G288" s="425">
        <f>G286-G290</f>
        <v>16006</v>
      </c>
      <c r="H288" s="425">
        <f t="shared" si="57"/>
        <v>16407</v>
      </c>
    </row>
    <row r="289" spans="1:8" ht="6" customHeight="1">
      <c r="A289" s="20"/>
      <c r="B289" s="18"/>
      <c r="C289" s="435"/>
      <c r="D289" s="435"/>
      <c r="E289" s="435"/>
      <c r="F289" s="435"/>
      <c r="G289" s="435"/>
      <c r="H289" s="435"/>
    </row>
    <row r="290" spans="1:8" ht="13.5" customHeight="1">
      <c r="A290" s="12" t="s">
        <v>7</v>
      </c>
      <c r="B290" s="13" t="s">
        <v>212</v>
      </c>
      <c r="C290" s="424">
        <v>7506</v>
      </c>
      <c r="D290" s="424">
        <v>6201</v>
      </c>
      <c r="E290" s="424">
        <v>6600</v>
      </c>
      <c r="F290" s="425">
        <v>7100</v>
      </c>
      <c r="G290" s="424">
        <v>7500</v>
      </c>
      <c r="H290" s="424">
        <v>7800</v>
      </c>
    </row>
    <row r="291" spans="1:8" ht="6.75" customHeight="1">
      <c r="A291" s="12"/>
      <c r="B291" s="7"/>
      <c r="C291" s="424"/>
      <c r="D291" s="424"/>
      <c r="E291" s="424"/>
      <c r="F291" s="425"/>
      <c r="G291" s="436"/>
      <c r="H291" s="436"/>
    </row>
    <row r="292" spans="1:8" s="2" customFormat="1" ht="12" customHeight="1">
      <c r="A292" s="16" t="s">
        <v>373</v>
      </c>
      <c r="B292" s="7" t="s">
        <v>212</v>
      </c>
      <c r="C292" s="427">
        <v>4003</v>
      </c>
      <c r="D292" s="427">
        <v>3222</v>
      </c>
      <c r="E292" s="427">
        <v>4500</v>
      </c>
      <c r="F292" s="427">
        <v>4600</v>
      </c>
      <c r="G292" s="427">
        <v>4600</v>
      </c>
      <c r="H292" s="427">
        <v>4600</v>
      </c>
    </row>
    <row r="293" spans="1:8" ht="7.5" customHeight="1">
      <c r="A293" s="16"/>
      <c r="B293" s="18"/>
      <c r="C293" s="424"/>
      <c r="D293" s="424"/>
      <c r="E293" s="424"/>
      <c r="F293" s="425"/>
      <c r="G293" s="436"/>
      <c r="H293" s="436"/>
    </row>
    <row r="294" spans="1:8" ht="12.75" customHeight="1">
      <c r="A294" s="23" t="s">
        <v>14</v>
      </c>
      <c r="B294" s="7" t="s">
        <v>212</v>
      </c>
      <c r="C294" s="427">
        <f>C296+C297+C298</f>
        <v>314</v>
      </c>
      <c r="D294" s="427">
        <f>D296+D297+D298</f>
        <v>2601</v>
      </c>
      <c r="E294" s="427">
        <f>E296+E297+E298</f>
        <v>742</v>
      </c>
      <c r="F294" s="427">
        <f>F296+F297+F298</f>
        <v>2822</v>
      </c>
      <c r="G294" s="427">
        <f t="shared" ref="G294:H294" si="58">G296+G297+G298</f>
        <v>3023</v>
      </c>
      <c r="H294" s="427">
        <f t="shared" si="58"/>
        <v>3523</v>
      </c>
    </row>
    <row r="295" spans="1:8" ht="9" customHeight="1">
      <c r="A295" s="24"/>
      <c r="B295" s="18"/>
      <c r="C295" s="427"/>
      <c r="D295" s="427"/>
      <c r="E295" s="427"/>
      <c r="F295" s="427"/>
      <c r="G295" s="437"/>
      <c r="H295" s="437"/>
    </row>
    <row r="296" spans="1:8" ht="13.5" customHeight="1">
      <c r="A296" s="23" t="s">
        <v>15</v>
      </c>
      <c r="B296" s="13" t="s">
        <v>212</v>
      </c>
      <c r="C296" s="424">
        <v>0</v>
      </c>
      <c r="D296" s="424">
        <v>533</v>
      </c>
      <c r="E296" s="424">
        <v>620</v>
      </c>
      <c r="F296" s="425">
        <v>2700</v>
      </c>
      <c r="G296" s="424">
        <v>2900</v>
      </c>
      <c r="H296" s="424">
        <v>3400</v>
      </c>
    </row>
    <row r="297" spans="1:8" ht="25.5" customHeight="1">
      <c r="A297" s="23" t="s">
        <v>16</v>
      </c>
      <c r="B297" s="13" t="s">
        <v>212</v>
      </c>
      <c r="C297" s="424">
        <v>71</v>
      </c>
      <c r="D297" s="424">
        <v>111</v>
      </c>
      <c r="E297" s="424">
        <v>120</v>
      </c>
      <c r="F297" s="425">
        <v>120</v>
      </c>
      <c r="G297" s="424">
        <v>120</v>
      </c>
      <c r="H297" s="424">
        <v>120</v>
      </c>
    </row>
    <row r="298" spans="1:8" ht="14.25" customHeight="1">
      <c r="A298" s="23" t="s">
        <v>17</v>
      </c>
      <c r="B298" s="13" t="s">
        <v>212</v>
      </c>
      <c r="C298" s="424">
        <v>243</v>
      </c>
      <c r="D298" s="424">
        <v>1957</v>
      </c>
      <c r="E298" s="424">
        <v>2</v>
      </c>
      <c r="F298" s="425">
        <v>2</v>
      </c>
      <c r="G298" s="424">
        <v>3</v>
      </c>
      <c r="H298" s="424">
        <v>3</v>
      </c>
    </row>
    <row r="299" spans="1:8">
      <c r="A299" s="17"/>
      <c r="B299" s="25"/>
      <c r="C299" s="438"/>
      <c r="D299" s="438"/>
      <c r="E299" s="439"/>
      <c r="F299" s="439"/>
      <c r="G299" s="26"/>
      <c r="H299" s="26"/>
    </row>
    <row r="300" spans="1:8" ht="21" customHeight="1">
      <c r="A300" s="27" t="s">
        <v>18</v>
      </c>
      <c r="B300" s="28" t="s">
        <v>212</v>
      </c>
      <c r="C300" s="440">
        <f>C268+C265+C262+C191+C180+C135+C115+C19</f>
        <v>4082218</v>
      </c>
      <c r="D300" s="440">
        <f>D268+D265+D262+D191+D180+D135+D115+D19-1</f>
        <v>4154062</v>
      </c>
      <c r="E300" s="440">
        <f>E268+E265+E191+E180+E135+E115+E19</f>
        <v>4767389</v>
      </c>
      <c r="F300" s="440">
        <f>F268+F265+F191+F180+F135+F115+F19</f>
        <v>4991299</v>
      </c>
      <c r="G300" s="440">
        <f>G268+G265+G191+G180+G135+G115+G19</f>
        <v>5310929</v>
      </c>
      <c r="H300" s="440">
        <f t="shared" ref="H300" si="59">H268+H265+H191+H180+H135+H115+H19</f>
        <v>5593700</v>
      </c>
    </row>
    <row r="301" spans="1:8">
      <c r="B301" s="31"/>
      <c r="G301" s="33"/>
    </row>
    <row r="302" spans="1:8">
      <c r="B302" s="31"/>
    </row>
    <row r="303" spans="1:8">
      <c r="B303" s="31"/>
    </row>
    <row r="304" spans="1:8">
      <c r="B304" s="31"/>
    </row>
    <row r="305" spans="1:9">
      <c r="B305" s="31"/>
    </row>
    <row r="306" spans="1:9">
      <c r="B306" s="31"/>
    </row>
    <row r="307" spans="1:9" ht="6" customHeight="1">
      <c r="B307" s="31"/>
    </row>
    <row r="308" spans="1:9" ht="14.25" customHeight="1">
      <c r="B308" s="31"/>
    </row>
    <row r="309" spans="1:9" ht="6" customHeight="1">
      <c r="B309" s="31"/>
    </row>
    <row r="310" spans="1:9" ht="26.25" customHeight="1">
      <c r="B310" s="31"/>
    </row>
    <row r="311" spans="1:9" ht="6" customHeight="1">
      <c r="B311" s="31"/>
    </row>
    <row r="312" spans="1:9" ht="12" customHeight="1">
      <c r="B312" s="31"/>
    </row>
    <row r="313" spans="1:9" s="2" customFormat="1" ht="12" customHeight="1">
      <c r="A313" s="3"/>
      <c r="B313" s="31"/>
      <c r="G313" s="3"/>
      <c r="H313" s="3"/>
      <c r="I313" s="3"/>
    </row>
    <row r="314" spans="1:9" s="2" customFormat="1" ht="12" customHeight="1">
      <c r="A314" s="3"/>
      <c r="B314" s="31"/>
      <c r="G314" s="3"/>
      <c r="H314" s="3"/>
      <c r="I314" s="3"/>
    </row>
    <row r="315" spans="1:9" s="2" customFormat="1" ht="6.75" customHeight="1">
      <c r="A315" s="3"/>
      <c r="B315" s="31"/>
      <c r="G315" s="3"/>
      <c r="H315" s="3"/>
      <c r="I315" s="3"/>
    </row>
    <row r="316" spans="1:9" s="2" customFormat="1" ht="6.75" customHeight="1">
      <c r="A316" s="3"/>
      <c r="B316" s="31"/>
      <c r="G316" s="3"/>
      <c r="H316" s="3"/>
      <c r="I316" s="3"/>
    </row>
    <row r="317" spans="1:9" s="2" customFormat="1" ht="36" customHeight="1">
      <c r="A317" s="3"/>
      <c r="B317" s="31"/>
      <c r="G317" s="3"/>
      <c r="H317" s="3"/>
      <c r="I317" s="3"/>
    </row>
    <row r="318" spans="1:9" s="2" customFormat="1" ht="7.5" customHeight="1">
      <c r="A318" s="3"/>
      <c r="B318" s="31"/>
      <c r="G318" s="3"/>
      <c r="H318" s="3"/>
      <c r="I318" s="3"/>
    </row>
    <row r="319" spans="1:9" s="2" customFormat="1" ht="12" customHeight="1">
      <c r="A319" s="3"/>
      <c r="B319" s="31"/>
      <c r="G319" s="3"/>
      <c r="H319" s="3"/>
      <c r="I319" s="3"/>
    </row>
    <row r="320" spans="1:9" s="2" customFormat="1" ht="12" customHeight="1">
      <c r="A320" s="3"/>
      <c r="B320" s="31"/>
      <c r="G320" s="3"/>
      <c r="H320" s="3"/>
      <c r="I320" s="3"/>
    </row>
    <row r="321" spans="1:9" s="2" customFormat="1" ht="12" customHeight="1">
      <c r="A321" s="3"/>
      <c r="B321" s="31"/>
      <c r="G321" s="3"/>
      <c r="H321" s="3"/>
      <c r="I321" s="3"/>
    </row>
    <row r="322" spans="1:9" s="2" customFormat="1" ht="6.75" customHeight="1">
      <c r="A322" s="3"/>
      <c r="B322" s="31"/>
      <c r="G322" s="3"/>
      <c r="H322" s="3"/>
      <c r="I322" s="3"/>
    </row>
    <row r="323" spans="1:9" s="2" customFormat="1">
      <c r="A323" s="3"/>
      <c r="B323" s="31"/>
      <c r="G323" s="3"/>
      <c r="H323" s="3"/>
      <c r="I323" s="3"/>
    </row>
    <row r="324" spans="1:9" s="2" customFormat="1" ht="5.25" customHeight="1">
      <c r="A324" s="3"/>
      <c r="B324" s="31"/>
      <c r="G324" s="3"/>
      <c r="H324" s="3"/>
      <c r="I324" s="3"/>
    </row>
  </sheetData>
  <mergeCells count="30">
    <mergeCell ref="H93:H94"/>
    <mergeCell ref="B259:B260"/>
    <mergeCell ref="C259:C260"/>
    <mergeCell ref="D259:D260"/>
    <mergeCell ref="E259:E260"/>
    <mergeCell ref="F259:F260"/>
    <mergeCell ref="G259:G260"/>
    <mergeCell ref="H259:H260"/>
    <mergeCell ref="E177:E178"/>
    <mergeCell ref="H177:H178"/>
    <mergeCell ref="B177:B178"/>
    <mergeCell ref="C177:C178"/>
    <mergeCell ref="D177:D178"/>
    <mergeCell ref="F177:F178"/>
    <mergeCell ref="G177:G178"/>
    <mergeCell ref="E93:E94"/>
    <mergeCell ref="H5:H6"/>
    <mergeCell ref="A2:G2"/>
    <mergeCell ref="A3:G3"/>
    <mergeCell ref="B5:B6"/>
    <mergeCell ref="C5:C6"/>
    <mergeCell ref="D5:D6"/>
    <mergeCell ref="E5:E6"/>
    <mergeCell ref="F5:F6"/>
    <mergeCell ref="G5:G6"/>
    <mergeCell ref="F93:F94"/>
    <mergeCell ref="G93:G94"/>
    <mergeCell ref="B93:B94"/>
    <mergeCell ref="C93:C94"/>
    <mergeCell ref="D93:D94"/>
  </mergeCells>
  <pageMargins left="0.62992125984251968" right="0.23622047244094491" top="0.23622047244094491" bottom="0.19685039370078741" header="0.27559055118110237"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2"/>
  <sheetViews>
    <sheetView tabSelected="1" zoomScaleNormal="100" workbookViewId="0">
      <pane xSplit="1" ySplit="7" topLeftCell="B110" activePane="bottomRight" state="frozen"/>
      <selection activeCell="A59" sqref="A59"/>
      <selection pane="topRight" activeCell="A59" sqref="A59"/>
      <selection pane="bottomLeft" activeCell="A59" sqref="A59"/>
      <selection pane="bottomRight" activeCell="D87" sqref="D87"/>
    </sheetView>
  </sheetViews>
  <sheetFormatPr defaultRowHeight="13"/>
  <cols>
    <col min="1" max="1" width="74.90625" style="59" customWidth="1"/>
    <col min="2" max="2" width="13.453125" style="66" customWidth="1"/>
    <col min="3" max="3" width="11" style="67" customWidth="1"/>
    <col min="4" max="4" width="13.36328125" style="68" customWidth="1"/>
    <col min="5" max="5" width="11.6328125" style="59" customWidth="1"/>
    <col min="6" max="233" width="9.08984375" style="59"/>
    <col min="234" max="242" width="0" style="59" hidden="1" customWidth="1"/>
    <col min="243" max="243" width="74.453125" style="59" customWidth="1"/>
    <col min="244" max="250" width="0" style="59" hidden="1" customWidth="1"/>
    <col min="251" max="251" width="8.984375E-2" style="59" customWidth="1"/>
    <col min="252" max="252" width="0" style="59" hidden="1" customWidth="1"/>
    <col min="253" max="253" width="13.90625" style="59" customWidth="1"/>
    <col min="254" max="254" width="14.6328125" style="59" customWidth="1"/>
    <col min="255" max="255" width="14" style="59" customWidth="1"/>
    <col min="256" max="256" width="14.453125" style="59" customWidth="1"/>
    <col min="257" max="489" width="9.08984375" style="59"/>
    <col min="490" max="498" width="0" style="59" hidden="1" customWidth="1"/>
    <col min="499" max="499" width="74.453125" style="59" customWidth="1"/>
    <col min="500" max="506" width="0" style="59" hidden="1" customWidth="1"/>
    <col min="507" max="507" width="8.984375E-2" style="59" customWidth="1"/>
    <col min="508" max="508" width="0" style="59" hidden="1" customWidth="1"/>
    <col min="509" max="509" width="13.90625" style="59" customWidth="1"/>
    <col min="510" max="510" width="14.6328125" style="59" customWidth="1"/>
    <col min="511" max="511" width="14" style="59" customWidth="1"/>
    <col min="512" max="512" width="14.453125" style="59" customWidth="1"/>
    <col min="513" max="745" width="9.08984375" style="59"/>
    <col min="746" max="754" width="0" style="59" hidden="1" customWidth="1"/>
    <col min="755" max="755" width="74.453125" style="59" customWidth="1"/>
    <col min="756" max="762" width="0" style="59" hidden="1" customWidth="1"/>
    <col min="763" max="763" width="8.984375E-2" style="59" customWidth="1"/>
    <col min="764" max="764" width="0" style="59" hidden="1" customWidth="1"/>
    <col min="765" max="765" width="13.90625" style="59" customWidth="1"/>
    <col min="766" max="766" width="14.6328125" style="59" customWidth="1"/>
    <col min="767" max="767" width="14" style="59" customWidth="1"/>
    <col min="768" max="768" width="14.453125" style="59" customWidth="1"/>
    <col min="769" max="1001" width="9.08984375" style="59"/>
    <col min="1002" max="1010" width="0" style="59" hidden="1" customWidth="1"/>
    <col min="1011" max="1011" width="74.453125" style="59" customWidth="1"/>
    <col min="1012" max="1018" width="0" style="59" hidden="1" customWidth="1"/>
    <col min="1019" max="1019" width="8.984375E-2" style="59" customWidth="1"/>
    <col min="1020" max="1020" width="0" style="59" hidden="1" customWidth="1"/>
    <col min="1021" max="1021" width="13.90625" style="59" customWidth="1"/>
    <col min="1022" max="1022" width="14.6328125" style="59" customWidth="1"/>
    <col min="1023" max="1023" width="14" style="59" customWidth="1"/>
    <col min="1024" max="1024" width="14.453125" style="59" customWidth="1"/>
    <col min="1025" max="1257" width="9.08984375" style="59"/>
    <col min="1258" max="1266" width="0" style="59" hidden="1" customWidth="1"/>
    <col min="1267" max="1267" width="74.453125" style="59" customWidth="1"/>
    <col min="1268" max="1274" width="0" style="59" hidden="1" customWidth="1"/>
    <col min="1275" max="1275" width="8.984375E-2" style="59" customWidth="1"/>
    <col min="1276" max="1276" width="0" style="59" hidden="1" customWidth="1"/>
    <col min="1277" max="1277" width="13.90625" style="59" customWidth="1"/>
    <col min="1278" max="1278" width="14.6328125" style="59" customWidth="1"/>
    <col min="1279" max="1279" width="14" style="59" customWidth="1"/>
    <col min="1280" max="1280" width="14.453125" style="59" customWidth="1"/>
    <col min="1281" max="1513" width="9.08984375" style="59"/>
    <col min="1514" max="1522" width="0" style="59" hidden="1" customWidth="1"/>
    <col min="1523" max="1523" width="74.453125" style="59" customWidth="1"/>
    <col min="1524" max="1530" width="0" style="59" hidden="1" customWidth="1"/>
    <col min="1531" max="1531" width="8.984375E-2" style="59" customWidth="1"/>
    <col min="1532" max="1532" width="0" style="59" hidden="1" customWidth="1"/>
    <col min="1533" max="1533" width="13.90625" style="59" customWidth="1"/>
    <col min="1534" max="1534" width="14.6328125" style="59" customWidth="1"/>
    <col min="1535" max="1535" width="14" style="59" customWidth="1"/>
    <col min="1536" max="1536" width="14.453125" style="59" customWidth="1"/>
    <col min="1537" max="1769" width="9.08984375" style="59"/>
    <col min="1770" max="1778" width="0" style="59" hidden="1" customWidth="1"/>
    <col min="1779" max="1779" width="74.453125" style="59" customWidth="1"/>
    <col min="1780" max="1786" width="0" style="59" hidden="1" customWidth="1"/>
    <col min="1787" max="1787" width="8.984375E-2" style="59" customWidth="1"/>
    <col min="1788" max="1788" width="0" style="59" hidden="1" customWidth="1"/>
    <col min="1789" max="1789" width="13.90625" style="59" customWidth="1"/>
    <col min="1790" max="1790" width="14.6328125" style="59" customWidth="1"/>
    <col min="1791" max="1791" width="14" style="59" customWidth="1"/>
    <col min="1792" max="1792" width="14.453125" style="59" customWidth="1"/>
    <col min="1793" max="2025" width="9.08984375" style="59"/>
    <col min="2026" max="2034" width="0" style="59" hidden="1" customWidth="1"/>
    <col min="2035" max="2035" width="74.453125" style="59" customWidth="1"/>
    <col min="2036" max="2042" width="0" style="59" hidden="1" customWidth="1"/>
    <col min="2043" max="2043" width="8.984375E-2" style="59" customWidth="1"/>
    <col min="2044" max="2044" width="0" style="59" hidden="1" customWidth="1"/>
    <col min="2045" max="2045" width="13.90625" style="59" customWidth="1"/>
    <col min="2046" max="2046" width="14.6328125" style="59" customWidth="1"/>
    <col min="2047" max="2047" width="14" style="59" customWidth="1"/>
    <col min="2048" max="2048" width="14.453125" style="59" customWidth="1"/>
    <col min="2049" max="2281" width="9.08984375" style="59"/>
    <col min="2282" max="2290" width="0" style="59" hidden="1" customWidth="1"/>
    <col min="2291" max="2291" width="74.453125" style="59" customWidth="1"/>
    <col min="2292" max="2298" width="0" style="59" hidden="1" customWidth="1"/>
    <col min="2299" max="2299" width="8.984375E-2" style="59" customWidth="1"/>
    <col min="2300" max="2300" width="0" style="59" hidden="1" customWidth="1"/>
    <col min="2301" max="2301" width="13.90625" style="59" customWidth="1"/>
    <col min="2302" max="2302" width="14.6328125" style="59" customWidth="1"/>
    <col min="2303" max="2303" width="14" style="59" customWidth="1"/>
    <col min="2304" max="2304" width="14.453125" style="59" customWidth="1"/>
    <col min="2305" max="2537" width="9.08984375" style="59"/>
    <col min="2538" max="2546" width="0" style="59" hidden="1" customWidth="1"/>
    <col min="2547" max="2547" width="74.453125" style="59" customWidth="1"/>
    <col min="2548" max="2554" width="0" style="59" hidden="1" customWidth="1"/>
    <col min="2555" max="2555" width="8.984375E-2" style="59" customWidth="1"/>
    <col min="2556" max="2556" width="0" style="59" hidden="1" customWidth="1"/>
    <col min="2557" max="2557" width="13.90625" style="59" customWidth="1"/>
    <col min="2558" max="2558" width="14.6328125" style="59" customWidth="1"/>
    <col min="2559" max="2559" width="14" style="59" customWidth="1"/>
    <col min="2560" max="2560" width="14.453125" style="59" customWidth="1"/>
    <col min="2561" max="2793" width="9.08984375" style="59"/>
    <col min="2794" max="2802" width="0" style="59" hidden="1" customWidth="1"/>
    <col min="2803" max="2803" width="74.453125" style="59" customWidth="1"/>
    <col min="2804" max="2810" width="0" style="59" hidden="1" customWidth="1"/>
    <col min="2811" max="2811" width="8.984375E-2" style="59" customWidth="1"/>
    <col min="2812" max="2812" width="0" style="59" hidden="1" customWidth="1"/>
    <col min="2813" max="2813" width="13.90625" style="59" customWidth="1"/>
    <col min="2814" max="2814" width="14.6328125" style="59" customWidth="1"/>
    <col min="2815" max="2815" width="14" style="59" customWidth="1"/>
    <col min="2816" max="2816" width="14.453125" style="59" customWidth="1"/>
    <col min="2817" max="3049" width="9.08984375" style="59"/>
    <col min="3050" max="3058" width="0" style="59" hidden="1" customWidth="1"/>
    <col min="3059" max="3059" width="74.453125" style="59" customWidth="1"/>
    <col min="3060" max="3066" width="0" style="59" hidden="1" customWidth="1"/>
    <col min="3067" max="3067" width="8.984375E-2" style="59" customWidth="1"/>
    <col min="3068" max="3068" width="0" style="59" hidden="1" customWidth="1"/>
    <col min="3069" max="3069" width="13.90625" style="59" customWidth="1"/>
    <col min="3070" max="3070" width="14.6328125" style="59" customWidth="1"/>
    <col min="3071" max="3071" width="14" style="59" customWidth="1"/>
    <col min="3072" max="3072" width="14.453125" style="59" customWidth="1"/>
    <col min="3073" max="3305" width="9.08984375" style="59"/>
    <col min="3306" max="3314" width="0" style="59" hidden="1" customWidth="1"/>
    <col min="3315" max="3315" width="74.453125" style="59" customWidth="1"/>
    <col min="3316" max="3322" width="0" style="59" hidden="1" customWidth="1"/>
    <col min="3323" max="3323" width="8.984375E-2" style="59" customWidth="1"/>
    <col min="3324" max="3324" width="0" style="59" hidden="1" customWidth="1"/>
    <col min="3325" max="3325" width="13.90625" style="59" customWidth="1"/>
    <col min="3326" max="3326" width="14.6328125" style="59" customWidth="1"/>
    <col min="3327" max="3327" width="14" style="59" customWidth="1"/>
    <col min="3328" max="3328" width="14.453125" style="59" customWidth="1"/>
    <col min="3329" max="3561" width="9.08984375" style="59"/>
    <col min="3562" max="3570" width="0" style="59" hidden="1" customWidth="1"/>
    <col min="3571" max="3571" width="74.453125" style="59" customWidth="1"/>
    <col min="3572" max="3578" width="0" style="59" hidden="1" customWidth="1"/>
    <col min="3579" max="3579" width="8.984375E-2" style="59" customWidth="1"/>
    <col min="3580" max="3580" width="0" style="59" hidden="1" customWidth="1"/>
    <col min="3581" max="3581" width="13.90625" style="59" customWidth="1"/>
    <col min="3582" max="3582" width="14.6328125" style="59" customWidth="1"/>
    <col min="3583" max="3583" width="14" style="59" customWidth="1"/>
    <col min="3584" max="3584" width="14.453125" style="59" customWidth="1"/>
    <col min="3585" max="3817" width="9.08984375" style="59"/>
    <col min="3818" max="3826" width="0" style="59" hidden="1" customWidth="1"/>
    <col min="3827" max="3827" width="74.453125" style="59" customWidth="1"/>
    <col min="3828" max="3834" width="0" style="59" hidden="1" customWidth="1"/>
    <col min="3835" max="3835" width="8.984375E-2" style="59" customWidth="1"/>
    <col min="3836" max="3836" width="0" style="59" hidden="1" customWidth="1"/>
    <col min="3837" max="3837" width="13.90625" style="59" customWidth="1"/>
    <col min="3838" max="3838" width="14.6328125" style="59" customWidth="1"/>
    <col min="3839" max="3839" width="14" style="59" customWidth="1"/>
    <col min="3840" max="3840" width="14.453125" style="59" customWidth="1"/>
    <col min="3841" max="4073" width="9.08984375" style="59"/>
    <col min="4074" max="4082" width="0" style="59" hidden="1" customWidth="1"/>
    <col min="4083" max="4083" width="74.453125" style="59" customWidth="1"/>
    <col min="4084" max="4090" width="0" style="59" hidden="1" customWidth="1"/>
    <col min="4091" max="4091" width="8.984375E-2" style="59" customWidth="1"/>
    <col min="4092" max="4092" width="0" style="59" hidden="1" customWidth="1"/>
    <col min="4093" max="4093" width="13.90625" style="59" customWidth="1"/>
    <col min="4094" max="4094" width="14.6328125" style="59" customWidth="1"/>
    <col min="4095" max="4095" width="14" style="59" customWidth="1"/>
    <col min="4096" max="4096" width="14.453125" style="59" customWidth="1"/>
    <col min="4097" max="4329" width="9.08984375" style="59"/>
    <col min="4330" max="4338" width="0" style="59" hidden="1" customWidth="1"/>
    <col min="4339" max="4339" width="74.453125" style="59" customWidth="1"/>
    <col min="4340" max="4346" width="0" style="59" hidden="1" customWidth="1"/>
    <col min="4347" max="4347" width="8.984375E-2" style="59" customWidth="1"/>
    <col min="4348" max="4348" width="0" style="59" hidden="1" customWidth="1"/>
    <col min="4349" max="4349" width="13.90625" style="59" customWidth="1"/>
    <col min="4350" max="4350" width="14.6328125" style="59" customWidth="1"/>
    <col min="4351" max="4351" width="14" style="59" customWidth="1"/>
    <col min="4352" max="4352" width="14.453125" style="59" customWidth="1"/>
    <col min="4353" max="4585" width="9.08984375" style="59"/>
    <col min="4586" max="4594" width="0" style="59" hidden="1" customWidth="1"/>
    <col min="4595" max="4595" width="74.453125" style="59" customWidth="1"/>
    <col min="4596" max="4602" width="0" style="59" hidden="1" customWidth="1"/>
    <col min="4603" max="4603" width="8.984375E-2" style="59" customWidth="1"/>
    <col min="4604" max="4604" width="0" style="59" hidden="1" customWidth="1"/>
    <col min="4605" max="4605" width="13.90625" style="59" customWidth="1"/>
    <col min="4606" max="4606" width="14.6328125" style="59" customWidth="1"/>
    <col min="4607" max="4607" width="14" style="59" customWidth="1"/>
    <col min="4608" max="4608" width="14.453125" style="59" customWidth="1"/>
    <col min="4609" max="4841" width="9.08984375" style="59"/>
    <col min="4842" max="4850" width="0" style="59" hidden="1" customWidth="1"/>
    <col min="4851" max="4851" width="74.453125" style="59" customWidth="1"/>
    <col min="4852" max="4858" width="0" style="59" hidden="1" customWidth="1"/>
    <col min="4859" max="4859" width="8.984375E-2" style="59" customWidth="1"/>
    <col min="4860" max="4860" width="0" style="59" hidden="1" customWidth="1"/>
    <col min="4861" max="4861" width="13.90625" style="59" customWidth="1"/>
    <col min="4862" max="4862" width="14.6328125" style="59" customWidth="1"/>
    <col min="4863" max="4863" width="14" style="59" customWidth="1"/>
    <col min="4864" max="4864" width="14.453125" style="59" customWidth="1"/>
    <col min="4865" max="5097" width="9.08984375" style="59"/>
    <col min="5098" max="5106" width="0" style="59" hidden="1" customWidth="1"/>
    <col min="5107" max="5107" width="74.453125" style="59" customWidth="1"/>
    <col min="5108" max="5114" width="0" style="59" hidden="1" customWidth="1"/>
    <col min="5115" max="5115" width="8.984375E-2" style="59" customWidth="1"/>
    <col min="5116" max="5116" width="0" style="59" hidden="1" customWidth="1"/>
    <col min="5117" max="5117" width="13.90625" style="59" customWidth="1"/>
    <col min="5118" max="5118" width="14.6328125" style="59" customWidth="1"/>
    <col min="5119" max="5119" width="14" style="59" customWidth="1"/>
    <col min="5120" max="5120" width="14.453125" style="59" customWidth="1"/>
    <col min="5121" max="5353" width="9.08984375" style="59"/>
    <col min="5354" max="5362" width="0" style="59" hidden="1" customWidth="1"/>
    <col min="5363" max="5363" width="74.453125" style="59" customWidth="1"/>
    <col min="5364" max="5370" width="0" style="59" hidden="1" customWidth="1"/>
    <col min="5371" max="5371" width="8.984375E-2" style="59" customWidth="1"/>
    <col min="5372" max="5372" width="0" style="59" hidden="1" customWidth="1"/>
    <col min="5373" max="5373" width="13.90625" style="59" customWidth="1"/>
    <col min="5374" max="5374" width="14.6328125" style="59" customWidth="1"/>
    <col min="5375" max="5375" width="14" style="59" customWidth="1"/>
    <col min="5376" max="5376" width="14.453125" style="59" customWidth="1"/>
    <col min="5377" max="5609" width="9.08984375" style="59"/>
    <col min="5610" max="5618" width="0" style="59" hidden="1" customWidth="1"/>
    <col min="5619" max="5619" width="74.453125" style="59" customWidth="1"/>
    <col min="5620" max="5626" width="0" style="59" hidden="1" customWidth="1"/>
    <col min="5627" max="5627" width="8.984375E-2" style="59" customWidth="1"/>
    <col min="5628" max="5628" width="0" style="59" hidden="1" customWidth="1"/>
    <col min="5629" max="5629" width="13.90625" style="59" customWidth="1"/>
    <col min="5630" max="5630" width="14.6328125" style="59" customWidth="1"/>
    <col min="5631" max="5631" width="14" style="59" customWidth="1"/>
    <col min="5632" max="5632" width="14.453125" style="59" customWidth="1"/>
    <col min="5633" max="5865" width="9.08984375" style="59"/>
    <col min="5866" max="5874" width="0" style="59" hidden="1" customWidth="1"/>
    <col min="5875" max="5875" width="74.453125" style="59" customWidth="1"/>
    <col min="5876" max="5882" width="0" style="59" hidden="1" customWidth="1"/>
    <col min="5883" max="5883" width="8.984375E-2" style="59" customWidth="1"/>
    <col min="5884" max="5884" width="0" style="59" hidden="1" customWidth="1"/>
    <col min="5885" max="5885" width="13.90625" style="59" customWidth="1"/>
    <col min="5886" max="5886" width="14.6328125" style="59" customWidth="1"/>
    <col min="5887" max="5887" width="14" style="59" customWidth="1"/>
    <col min="5888" max="5888" width="14.453125" style="59" customWidth="1"/>
    <col min="5889" max="6121" width="9.08984375" style="59"/>
    <col min="6122" max="6130" width="0" style="59" hidden="1" customWidth="1"/>
    <col min="6131" max="6131" width="74.453125" style="59" customWidth="1"/>
    <col min="6132" max="6138" width="0" style="59" hidden="1" customWidth="1"/>
    <col min="6139" max="6139" width="8.984375E-2" style="59" customWidth="1"/>
    <col min="6140" max="6140" width="0" style="59" hidden="1" customWidth="1"/>
    <col min="6141" max="6141" width="13.90625" style="59" customWidth="1"/>
    <col min="6142" max="6142" width="14.6328125" style="59" customWidth="1"/>
    <col min="6143" max="6143" width="14" style="59" customWidth="1"/>
    <col min="6144" max="6144" width="14.453125" style="59" customWidth="1"/>
    <col min="6145" max="6377" width="9.08984375" style="59"/>
    <col min="6378" max="6386" width="0" style="59" hidden="1" customWidth="1"/>
    <col min="6387" max="6387" width="74.453125" style="59" customWidth="1"/>
    <col min="6388" max="6394" width="0" style="59" hidden="1" customWidth="1"/>
    <col min="6395" max="6395" width="8.984375E-2" style="59" customWidth="1"/>
    <col min="6396" max="6396" width="0" style="59" hidden="1" customWidth="1"/>
    <col min="6397" max="6397" width="13.90625" style="59" customWidth="1"/>
    <col min="6398" max="6398" width="14.6328125" style="59" customWidth="1"/>
    <col min="6399" max="6399" width="14" style="59" customWidth="1"/>
    <col min="6400" max="6400" width="14.453125" style="59" customWidth="1"/>
    <col min="6401" max="6633" width="9.08984375" style="59"/>
    <col min="6634" max="6642" width="0" style="59" hidden="1" customWidth="1"/>
    <col min="6643" max="6643" width="74.453125" style="59" customWidth="1"/>
    <col min="6644" max="6650" width="0" style="59" hidden="1" customWidth="1"/>
    <col min="6651" max="6651" width="8.984375E-2" style="59" customWidth="1"/>
    <col min="6652" max="6652" width="0" style="59" hidden="1" customWidth="1"/>
    <col min="6653" max="6653" width="13.90625" style="59" customWidth="1"/>
    <col min="6654" max="6654" width="14.6328125" style="59" customWidth="1"/>
    <col min="6655" max="6655" width="14" style="59" customWidth="1"/>
    <col min="6656" max="6656" width="14.453125" style="59" customWidth="1"/>
    <col min="6657" max="6889" width="9.08984375" style="59"/>
    <col min="6890" max="6898" width="0" style="59" hidden="1" customWidth="1"/>
    <col min="6899" max="6899" width="74.453125" style="59" customWidth="1"/>
    <col min="6900" max="6906" width="0" style="59" hidden="1" customWidth="1"/>
    <col min="6907" max="6907" width="8.984375E-2" style="59" customWidth="1"/>
    <col min="6908" max="6908" width="0" style="59" hidden="1" customWidth="1"/>
    <col min="6909" max="6909" width="13.90625" style="59" customWidth="1"/>
    <col min="6910" max="6910" width="14.6328125" style="59" customWidth="1"/>
    <col min="6911" max="6911" width="14" style="59" customWidth="1"/>
    <col min="6912" max="6912" width="14.453125" style="59" customWidth="1"/>
    <col min="6913" max="7145" width="9.08984375" style="59"/>
    <col min="7146" max="7154" width="0" style="59" hidden="1" customWidth="1"/>
    <col min="7155" max="7155" width="74.453125" style="59" customWidth="1"/>
    <col min="7156" max="7162" width="0" style="59" hidden="1" customWidth="1"/>
    <col min="7163" max="7163" width="8.984375E-2" style="59" customWidth="1"/>
    <col min="7164" max="7164" width="0" style="59" hidden="1" customWidth="1"/>
    <col min="7165" max="7165" width="13.90625" style="59" customWidth="1"/>
    <col min="7166" max="7166" width="14.6328125" style="59" customWidth="1"/>
    <col min="7167" max="7167" width="14" style="59" customWidth="1"/>
    <col min="7168" max="7168" width="14.453125" style="59" customWidth="1"/>
    <col min="7169" max="7401" width="9.08984375" style="59"/>
    <col min="7402" max="7410" width="0" style="59" hidden="1" customWidth="1"/>
    <col min="7411" max="7411" width="74.453125" style="59" customWidth="1"/>
    <col min="7412" max="7418" width="0" style="59" hidden="1" customWidth="1"/>
    <col min="7419" max="7419" width="8.984375E-2" style="59" customWidth="1"/>
    <col min="7420" max="7420" width="0" style="59" hidden="1" customWidth="1"/>
    <col min="7421" max="7421" width="13.90625" style="59" customWidth="1"/>
    <col min="7422" max="7422" width="14.6328125" style="59" customWidth="1"/>
    <col min="7423" max="7423" width="14" style="59" customWidth="1"/>
    <col min="7424" max="7424" width="14.453125" style="59" customWidth="1"/>
    <col min="7425" max="7657" width="9.08984375" style="59"/>
    <col min="7658" max="7666" width="0" style="59" hidden="1" customWidth="1"/>
    <col min="7667" max="7667" width="74.453125" style="59" customWidth="1"/>
    <col min="7668" max="7674" width="0" style="59" hidden="1" customWidth="1"/>
    <col min="7675" max="7675" width="8.984375E-2" style="59" customWidth="1"/>
    <col min="7676" max="7676" width="0" style="59" hidden="1" customWidth="1"/>
    <col min="7677" max="7677" width="13.90625" style="59" customWidth="1"/>
    <col min="7678" max="7678" width="14.6328125" style="59" customWidth="1"/>
    <col min="7679" max="7679" width="14" style="59" customWidth="1"/>
    <col min="7680" max="7680" width="14.453125" style="59" customWidth="1"/>
    <col min="7681" max="7913" width="9.08984375" style="59"/>
    <col min="7914" max="7922" width="0" style="59" hidden="1" customWidth="1"/>
    <col min="7923" max="7923" width="74.453125" style="59" customWidth="1"/>
    <col min="7924" max="7930" width="0" style="59" hidden="1" customWidth="1"/>
    <col min="7931" max="7931" width="8.984375E-2" style="59" customWidth="1"/>
    <col min="7932" max="7932" width="0" style="59" hidden="1" customWidth="1"/>
    <col min="7933" max="7933" width="13.90625" style="59" customWidth="1"/>
    <col min="7934" max="7934" width="14.6328125" style="59" customWidth="1"/>
    <col min="7935" max="7935" width="14" style="59" customWidth="1"/>
    <col min="7936" max="7936" width="14.453125" style="59" customWidth="1"/>
    <col min="7937" max="8169" width="9.08984375" style="59"/>
    <col min="8170" max="8178" width="0" style="59" hidden="1" customWidth="1"/>
    <col min="8179" max="8179" width="74.453125" style="59" customWidth="1"/>
    <col min="8180" max="8186" width="0" style="59" hidden="1" customWidth="1"/>
    <col min="8187" max="8187" width="8.984375E-2" style="59" customWidth="1"/>
    <col min="8188" max="8188" width="0" style="59" hidden="1" customWidth="1"/>
    <col min="8189" max="8189" width="13.90625" style="59" customWidth="1"/>
    <col min="8190" max="8190" width="14.6328125" style="59" customWidth="1"/>
    <col min="8191" max="8191" width="14" style="59" customWidth="1"/>
    <col min="8192" max="8192" width="14.453125" style="59" customWidth="1"/>
    <col min="8193" max="8425" width="9.08984375" style="59"/>
    <col min="8426" max="8434" width="0" style="59" hidden="1" customWidth="1"/>
    <col min="8435" max="8435" width="74.453125" style="59" customWidth="1"/>
    <col min="8436" max="8442" width="0" style="59" hidden="1" customWidth="1"/>
    <col min="8443" max="8443" width="8.984375E-2" style="59" customWidth="1"/>
    <col min="8444" max="8444" width="0" style="59" hidden="1" customWidth="1"/>
    <col min="8445" max="8445" width="13.90625" style="59" customWidth="1"/>
    <col min="8446" max="8446" width="14.6328125" style="59" customWidth="1"/>
    <col min="8447" max="8447" width="14" style="59" customWidth="1"/>
    <col min="8448" max="8448" width="14.453125" style="59" customWidth="1"/>
    <col min="8449" max="8681" width="9.08984375" style="59"/>
    <col min="8682" max="8690" width="0" style="59" hidden="1" customWidth="1"/>
    <col min="8691" max="8691" width="74.453125" style="59" customWidth="1"/>
    <col min="8692" max="8698" width="0" style="59" hidden="1" customWidth="1"/>
    <col min="8699" max="8699" width="8.984375E-2" style="59" customWidth="1"/>
    <col min="8700" max="8700" width="0" style="59" hidden="1" customWidth="1"/>
    <col min="8701" max="8701" width="13.90625" style="59" customWidth="1"/>
    <col min="8702" max="8702" width="14.6328125" style="59" customWidth="1"/>
    <col min="8703" max="8703" width="14" style="59" customWidth="1"/>
    <col min="8704" max="8704" width="14.453125" style="59" customWidth="1"/>
    <col min="8705" max="8937" width="9.08984375" style="59"/>
    <col min="8938" max="8946" width="0" style="59" hidden="1" customWidth="1"/>
    <col min="8947" max="8947" width="74.453125" style="59" customWidth="1"/>
    <col min="8948" max="8954" width="0" style="59" hidden="1" customWidth="1"/>
    <col min="8955" max="8955" width="8.984375E-2" style="59" customWidth="1"/>
    <col min="8956" max="8956" width="0" style="59" hidden="1" customWidth="1"/>
    <col min="8957" max="8957" width="13.90625" style="59" customWidth="1"/>
    <col min="8958" max="8958" width="14.6328125" style="59" customWidth="1"/>
    <col min="8959" max="8959" width="14" style="59" customWidth="1"/>
    <col min="8960" max="8960" width="14.453125" style="59" customWidth="1"/>
    <col min="8961" max="9193" width="9.08984375" style="59"/>
    <col min="9194" max="9202" width="0" style="59" hidden="1" customWidth="1"/>
    <col min="9203" max="9203" width="74.453125" style="59" customWidth="1"/>
    <col min="9204" max="9210" width="0" style="59" hidden="1" customWidth="1"/>
    <col min="9211" max="9211" width="8.984375E-2" style="59" customWidth="1"/>
    <col min="9212" max="9212" width="0" style="59" hidden="1" customWidth="1"/>
    <col min="9213" max="9213" width="13.90625" style="59" customWidth="1"/>
    <col min="9214" max="9214" width="14.6328125" style="59" customWidth="1"/>
    <col min="9215" max="9215" width="14" style="59" customWidth="1"/>
    <col min="9216" max="9216" width="14.453125" style="59" customWidth="1"/>
    <col min="9217" max="9449" width="9.08984375" style="59"/>
    <col min="9450" max="9458" width="0" style="59" hidden="1" customWidth="1"/>
    <col min="9459" max="9459" width="74.453125" style="59" customWidth="1"/>
    <col min="9460" max="9466" width="0" style="59" hidden="1" customWidth="1"/>
    <col min="9467" max="9467" width="8.984375E-2" style="59" customWidth="1"/>
    <col min="9468" max="9468" width="0" style="59" hidden="1" customWidth="1"/>
    <col min="9469" max="9469" width="13.90625" style="59" customWidth="1"/>
    <col min="9470" max="9470" width="14.6328125" style="59" customWidth="1"/>
    <col min="9471" max="9471" width="14" style="59" customWidth="1"/>
    <col min="9472" max="9472" width="14.453125" style="59" customWidth="1"/>
    <col min="9473" max="9705" width="9.08984375" style="59"/>
    <col min="9706" max="9714" width="0" style="59" hidden="1" customWidth="1"/>
    <col min="9715" max="9715" width="74.453125" style="59" customWidth="1"/>
    <col min="9716" max="9722" width="0" style="59" hidden="1" customWidth="1"/>
    <col min="9723" max="9723" width="8.984375E-2" style="59" customWidth="1"/>
    <col min="9724" max="9724" width="0" style="59" hidden="1" customWidth="1"/>
    <col min="9725" max="9725" width="13.90625" style="59" customWidth="1"/>
    <col min="9726" max="9726" width="14.6328125" style="59" customWidth="1"/>
    <col min="9727" max="9727" width="14" style="59" customWidth="1"/>
    <col min="9728" max="9728" width="14.453125" style="59" customWidth="1"/>
    <col min="9729" max="9961" width="9.08984375" style="59"/>
    <col min="9962" max="9970" width="0" style="59" hidden="1" customWidth="1"/>
    <col min="9971" max="9971" width="74.453125" style="59" customWidth="1"/>
    <col min="9972" max="9978" width="0" style="59" hidden="1" customWidth="1"/>
    <col min="9979" max="9979" width="8.984375E-2" style="59" customWidth="1"/>
    <col min="9980" max="9980" width="0" style="59" hidden="1" customWidth="1"/>
    <col min="9981" max="9981" width="13.90625" style="59" customWidth="1"/>
    <col min="9982" max="9982" width="14.6328125" style="59" customWidth="1"/>
    <col min="9983" max="9983" width="14" style="59" customWidth="1"/>
    <col min="9984" max="9984" width="14.453125" style="59" customWidth="1"/>
    <col min="9985" max="10217" width="9.08984375" style="59"/>
    <col min="10218" max="10226" width="0" style="59" hidden="1" customWidth="1"/>
    <col min="10227" max="10227" width="74.453125" style="59" customWidth="1"/>
    <col min="10228" max="10234" width="0" style="59" hidden="1" customWidth="1"/>
    <col min="10235" max="10235" width="8.984375E-2" style="59" customWidth="1"/>
    <col min="10236" max="10236" width="0" style="59" hidden="1" customWidth="1"/>
    <col min="10237" max="10237" width="13.90625" style="59" customWidth="1"/>
    <col min="10238" max="10238" width="14.6328125" style="59" customWidth="1"/>
    <col min="10239" max="10239" width="14" style="59" customWidth="1"/>
    <col min="10240" max="10240" width="14.453125" style="59" customWidth="1"/>
    <col min="10241" max="10473" width="9.08984375" style="59"/>
    <col min="10474" max="10482" width="0" style="59" hidden="1" customWidth="1"/>
    <col min="10483" max="10483" width="74.453125" style="59" customWidth="1"/>
    <col min="10484" max="10490" width="0" style="59" hidden="1" customWidth="1"/>
    <col min="10491" max="10491" width="8.984375E-2" style="59" customWidth="1"/>
    <col min="10492" max="10492" width="0" style="59" hidden="1" customWidth="1"/>
    <col min="10493" max="10493" width="13.90625" style="59" customWidth="1"/>
    <col min="10494" max="10494" width="14.6328125" style="59" customWidth="1"/>
    <col min="10495" max="10495" width="14" style="59" customWidth="1"/>
    <col min="10496" max="10496" width="14.453125" style="59" customWidth="1"/>
    <col min="10497" max="10729" width="9.08984375" style="59"/>
    <col min="10730" max="10738" width="0" style="59" hidden="1" customWidth="1"/>
    <col min="10739" max="10739" width="74.453125" style="59" customWidth="1"/>
    <col min="10740" max="10746" width="0" style="59" hidden="1" customWidth="1"/>
    <col min="10747" max="10747" width="8.984375E-2" style="59" customWidth="1"/>
    <col min="10748" max="10748" width="0" style="59" hidden="1" customWidth="1"/>
    <col min="10749" max="10749" width="13.90625" style="59" customWidth="1"/>
    <col min="10750" max="10750" width="14.6328125" style="59" customWidth="1"/>
    <col min="10751" max="10751" width="14" style="59" customWidth="1"/>
    <col min="10752" max="10752" width="14.453125" style="59" customWidth="1"/>
    <col min="10753" max="10985" width="9.08984375" style="59"/>
    <col min="10986" max="10994" width="0" style="59" hidden="1" customWidth="1"/>
    <col min="10995" max="10995" width="74.453125" style="59" customWidth="1"/>
    <col min="10996" max="11002" width="0" style="59" hidden="1" customWidth="1"/>
    <col min="11003" max="11003" width="8.984375E-2" style="59" customWidth="1"/>
    <col min="11004" max="11004" width="0" style="59" hidden="1" customWidth="1"/>
    <col min="11005" max="11005" width="13.90625" style="59" customWidth="1"/>
    <col min="11006" max="11006" width="14.6328125" style="59" customWidth="1"/>
    <col min="11007" max="11007" width="14" style="59" customWidth="1"/>
    <col min="11008" max="11008" width="14.453125" style="59" customWidth="1"/>
    <col min="11009" max="11241" width="9.08984375" style="59"/>
    <col min="11242" max="11250" width="0" style="59" hidden="1" customWidth="1"/>
    <col min="11251" max="11251" width="74.453125" style="59" customWidth="1"/>
    <col min="11252" max="11258" width="0" style="59" hidden="1" customWidth="1"/>
    <col min="11259" max="11259" width="8.984375E-2" style="59" customWidth="1"/>
    <col min="11260" max="11260" width="0" style="59" hidden="1" customWidth="1"/>
    <col min="11261" max="11261" width="13.90625" style="59" customWidth="1"/>
    <col min="11262" max="11262" width="14.6328125" style="59" customWidth="1"/>
    <col min="11263" max="11263" width="14" style="59" customWidth="1"/>
    <col min="11264" max="11264" width="14.453125" style="59" customWidth="1"/>
    <col min="11265" max="11497" width="9.08984375" style="59"/>
    <col min="11498" max="11506" width="0" style="59" hidden="1" customWidth="1"/>
    <col min="11507" max="11507" width="74.453125" style="59" customWidth="1"/>
    <col min="11508" max="11514" width="0" style="59" hidden="1" customWidth="1"/>
    <col min="11515" max="11515" width="8.984375E-2" style="59" customWidth="1"/>
    <col min="11516" max="11516" width="0" style="59" hidden="1" customWidth="1"/>
    <col min="11517" max="11517" width="13.90625" style="59" customWidth="1"/>
    <col min="11518" max="11518" width="14.6328125" style="59" customWidth="1"/>
    <col min="11519" max="11519" width="14" style="59" customWidth="1"/>
    <col min="11520" max="11520" width="14.453125" style="59" customWidth="1"/>
    <col min="11521" max="11753" width="9.08984375" style="59"/>
    <col min="11754" max="11762" width="0" style="59" hidden="1" customWidth="1"/>
    <col min="11763" max="11763" width="74.453125" style="59" customWidth="1"/>
    <col min="11764" max="11770" width="0" style="59" hidden="1" customWidth="1"/>
    <col min="11771" max="11771" width="8.984375E-2" style="59" customWidth="1"/>
    <col min="11772" max="11772" width="0" style="59" hidden="1" customWidth="1"/>
    <col min="11773" max="11773" width="13.90625" style="59" customWidth="1"/>
    <col min="11774" max="11774" width="14.6328125" style="59" customWidth="1"/>
    <col min="11775" max="11775" width="14" style="59" customWidth="1"/>
    <col min="11776" max="11776" width="14.453125" style="59" customWidth="1"/>
    <col min="11777" max="12009" width="9.08984375" style="59"/>
    <col min="12010" max="12018" width="0" style="59" hidden="1" customWidth="1"/>
    <col min="12019" max="12019" width="74.453125" style="59" customWidth="1"/>
    <col min="12020" max="12026" width="0" style="59" hidden="1" customWidth="1"/>
    <col min="12027" max="12027" width="8.984375E-2" style="59" customWidth="1"/>
    <col min="12028" max="12028" width="0" style="59" hidden="1" customWidth="1"/>
    <col min="12029" max="12029" width="13.90625" style="59" customWidth="1"/>
    <col min="12030" max="12030" width="14.6328125" style="59" customWidth="1"/>
    <col min="12031" max="12031" width="14" style="59" customWidth="1"/>
    <col min="12032" max="12032" width="14.453125" style="59" customWidth="1"/>
    <col min="12033" max="12265" width="9.08984375" style="59"/>
    <col min="12266" max="12274" width="0" style="59" hidden="1" customWidth="1"/>
    <col min="12275" max="12275" width="74.453125" style="59" customWidth="1"/>
    <col min="12276" max="12282" width="0" style="59" hidden="1" customWidth="1"/>
    <col min="12283" max="12283" width="8.984375E-2" style="59" customWidth="1"/>
    <col min="12284" max="12284" width="0" style="59" hidden="1" customWidth="1"/>
    <col min="12285" max="12285" width="13.90625" style="59" customWidth="1"/>
    <col min="12286" max="12286" width="14.6328125" style="59" customWidth="1"/>
    <col min="12287" max="12287" width="14" style="59" customWidth="1"/>
    <col min="12288" max="12288" width="14.453125" style="59" customWidth="1"/>
    <col min="12289" max="12521" width="9.08984375" style="59"/>
    <col min="12522" max="12530" width="0" style="59" hidden="1" customWidth="1"/>
    <col min="12531" max="12531" width="74.453125" style="59" customWidth="1"/>
    <col min="12532" max="12538" width="0" style="59" hidden="1" customWidth="1"/>
    <col min="12539" max="12539" width="8.984375E-2" style="59" customWidth="1"/>
    <col min="12540" max="12540" width="0" style="59" hidden="1" customWidth="1"/>
    <col min="12541" max="12541" width="13.90625" style="59" customWidth="1"/>
    <col min="12542" max="12542" width="14.6328125" style="59" customWidth="1"/>
    <col min="12543" max="12543" width="14" style="59" customWidth="1"/>
    <col min="12544" max="12544" width="14.453125" style="59" customWidth="1"/>
    <col min="12545" max="12777" width="9.08984375" style="59"/>
    <col min="12778" max="12786" width="0" style="59" hidden="1" customWidth="1"/>
    <col min="12787" max="12787" width="74.453125" style="59" customWidth="1"/>
    <col min="12788" max="12794" width="0" style="59" hidden="1" customWidth="1"/>
    <col min="12795" max="12795" width="8.984375E-2" style="59" customWidth="1"/>
    <col min="12796" max="12796" width="0" style="59" hidden="1" customWidth="1"/>
    <col min="12797" max="12797" width="13.90625" style="59" customWidth="1"/>
    <col min="12798" max="12798" width="14.6328125" style="59" customWidth="1"/>
    <col min="12799" max="12799" width="14" style="59" customWidth="1"/>
    <col min="12800" max="12800" width="14.453125" style="59" customWidth="1"/>
    <col min="12801" max="13033" width="9.08984375" style="59"/>
    <col min="13034" max="13042" width="0" style="59" hidden="1" customWidth="1"/>
    <col min="13043" max="13043" width="74.453125" style="59" customWidth="1"/>
    <col min="13044" max="13050" width="0" style="59" hidden="1" customWidth="1"/>
    <col min="13051" max="13051" width="8.984375E-2" style="59" customWidth="1"/>
    <col min="13052" max="13052" width="0" style="59" hidden="1" customWidth="1"/>
    <col min="13053" max="13053" width="13.90625" style="59" customWidth="1"/>
    <col min="13054" max="13054" width="14.6328125" style="59" customWidth="1"/>
    <col min="13055" max="13055" width="14" style="59" customWidth="1"/>
    <col min="13056" max="13056" width="14.453125" style="59" customWidth="1"/>
    <col min="13057" max="13289" width="9.08984375" style="59"/>
    <col min="13290" max="13298" width="0" style="59" hidden="1" customWidth="1"/>
    <col min="13299" max="13299" width="74.453125" style="59" customWidth="1"/>
    <col min="13300" max="13306" width="0" style="59" hidden="1" customWidth="1"/>
    <col min="13307" max="13307" width="8.984375E-2" style="59" customWidth="1"/>
    <col min="13308" max="13308" width="0" style="59" hidden="1" customWidth="1"/>
    <col min="13309" max="13309" width="13.90625" style="59" customWidth="1"/>
    <col min="13310" max="13310" width="14.6328125" style="59" customWidth="1"/>
    <col min="13311" max="13311" width="14" style="59" customWidth="1"/>
    <col min="13312" max="13312" width="14.453125" style="59" customWidth="1"/>
    <col min="13313" max="13545" width="9.08984375" style="59"/>
    <col min="13546" max="13554" width="0" style="59" hidden="1" customWidth="1"/>
    <col min="13555" max="13555" width="74.453125" style="59" customWidth="1"/>
    <col min="13556" max="13562" width="0" style="59" hidden="1" customWidth="1"/>
    <col min="13563" max="13563" width="8.984375E-2" style="59" customWidth="1"/>
    <col min="13564" max="13564" width="0" style="59" hidden="1" customWidth="1"/>
    <col min="13565" max="13565" width="13.90625" style="59" customWidth="1"/>
    <col min="13566" max="13566" width="14.6328125" style="59" customWidth="1"/>
    <col min="13567" max="13567" width="14" style="59" customWidth="1"/>
    <col min="13568" max="13568" width="14.453125" style="59" customWidth="1"/>
    <col min="13569" max="13801" width="9.08984375" style="59"/>
    <col min="13802" max="13810" width="0" style="59" hidden="1" customWidth="1"/>
    <col min="13811" max="13811" width="74.453125" style="59" customWidth="1"/>
    <col min="13812" max="13818" width="0" style="59" hidden="1" customWidth="1"/>
    <col min="13819" max="13819" width="8.984375E-2" style="59" customWidth="1"/>
    <col min="13820" max="13820" width="0" style="59" hidden="1" customWidth="1"/>
    <col min="13821" max="13821" width="13.90625" style="59" customWidth="1"/>
    <col min="13822" max="13822" width="14.6328125" style="59" customWidth="1"/>
    <col min="13823" max="13823" width="14" style="59" customWidth="1"/>
    <col min="13824" max="13824" width="14.453125" style="59" customWidth="1"/>
    <col min="13825" max="14057" width="9.08984375" style="59"/>
    <col min="14058" max="14066" width="0" style="59" hidden="1" customWidth="1"/>
    <col min="14067" max="14067" width="74.453125" style="59" customWidth="1"/>
    <col min="14068" max="14074" width="0" style="59" hidden="1" customWidth="1"/>
    <col min="14075" max="14075" width="8.984375E-2" style="59" customWidth="1"/>
    <col min="14076" max="14076" width="0" style="59" hidden="1" customWidth="1"/>
    <col min="14077" max="14077" width="13.90625" style="59" customWidth="1"/>
    <col min="14078" max="14078" width="14.6328125" style="59" customWidth="1"/>
    <col min="14079" max="14079" width="14" style="59" customWidth="1"/>
    <col min="14080" max="14080" width="14.453125" style="59" customWidth="1"/>
    <col min="14081" max="14313" width="9.08984375" style="59"/>
    <col min="14314" max="14322" width="0" style="59" hidden="1" customWidth="1"/>
    <col min="14323" max="14323" width="74.453125" style="59" customWidth="1"/>
    <col min="14324" max="14330" width="0" style="59" hidden="1" customWidth="1"/>
    <col min="14331" max="14331" width="8.984375E-2" style="59" customWidth="1"/>
    <col min="14332" max="14332" width="0" style="59" hidden="1" customWidth="1"/>
    <col min="14333" max="14333" width="13.90625" style="59" customWidth="1"/>
    <col min="14334" max="14334" width="14.6328125" style="59" customWidth="1"/>
    <col min="14335" max="14335" width="14" style="59" customWidth="1"/>
    <col min="14336" max="14336" width="14.453125" style="59" customWidth="1"/>
    <col min="14337" max="14569" width="9.08984375" style="59"/>
    <col min="14570" max="14578" width="0" style="59" hidden="1" customWidth="1"/>
    <col min="14579" max="14579" width="74.453125" style="59" customWidth="1"/>
    <col min="14580" max="14586" width="0" style="59" hidden="1" customWidth="1"/>
    <col min="14587" max="14587" width="8.984375E-2" style="59" customWidth="1"/>
    <col min="14588" max="14588" width="0" style="59" hidden="1" customWidth="1"/>
    <col min="14589" max="14589" width="13.90625" style="59" customWidth="1"/>
    <col min="14590" max="14590" width="14.6328125" style="59" customWidth="1"/>
    <col min="14591" max="14591" width="14" style="59" customWidth="1"/>
    <col min="14592" max="14592" width="14.453125" style="59" customWidth="1"/>
    <col min="14593" max="14825" width="9.08984375" style="59"/>
    <col min="14826" max="14834" width="0" style="59" hidden="1" customWidth="1"/>
    <col min="14835" max="14835" width="74.453125" style="59" customWidth="1"/>
    <col min="14836" max="14842" width="0" style="59" hidden="1" customWidth="1"/>
    <col min="14843" max="14843" width="8.984375E-2" style="59" customWidth="1"/>
    <col min="14844" max="14844" width="0" style="59" hidden="1" customWidth="1"/>
    <col min="14845" max="14845" width="13.90625" style="59" customWidth="1"/>
    <col min="14846" max="14846" width="14.6328125" style="59" customWidth="1"/>
    <col min="14847" max="14847" width="14" style="59" customWidth="1"/>
    <col min="14848" max="14848" width="14.453125" style="59" customWidth="1"/>
    <col min="14849" max="15081" width="9.08984375" style="59"/>
    <col min="15082" max="15090" width="0" style="59" hidden="1" customWidth="1"/>
    <col min="15091" max="15091" width="74.453125" style="59" customWidth="1"/>
    <col min="15092" max="15098" width="0" style="59" hidden="1" customWidth="1"/>
    <col min="15099" max="15099" width="8.984375E-2" style="59" customWidth="1"/>
    <col min="15100" max="15100" width="0" style="59" hidden="1" customWidth="1"/>
    <col min="15101" max="15101" width="13.90625" style="59" customWidth="1"/>
    <col min="15102" max="15102" width="14.6328125" style="59" customWidth="1"/>
    <col min="15103" max="15103" width="14" style="59" customWidth="1"/>
    <col min="15104" max="15104" width="14.453125" style="59" customWidth="1"/>
    <col min="15105" max="15337" width="9.08984375" style="59"/>
    <col min="15338" max="15346" width="0" style="59" hidden="1" customWidth="1"/>
    <col min="15347" max="15347" width="74.453125" style="59" customWidth="1"/>
    <col min="15348" max="15354" width="0" style="59" hidden="1" customWidth="1"/>
    <col min="15355" max="15355" width="8.984375E-2" style="59" customWidth="1"/>
    <col min="15356" max="15356" width="0" style="59" hidden="1" customWidth="1"/>
    <col min="15357" max="15357" width="13.90625" style="59" customWidth="1"/>
    <col min="15358" max="15358" width="14.6328125" style="59" customWidth="1"/>
    <col min="15359" max="15359" width="14" style="59" customWidth="1"/>
    <col min="15360" max="15360" width="14.453125" style="59" customWidth="1"/>
    <col min="15361" max="15593" width="9.08984375" style="59"/>
    <col min="15594" max="15602" width="0" style="59" hidden="1" customWidth="1"/>
    <col min="15603" max="15603" width="74.453125" style="59" customWidth="1"/>
    <col min="15604" max="15610" width="0" style="59" hidden="1" customWidth="1"/>
    <col min="15611" max="15611" width="8.984375E-2" style="59" customWidth="1"/>
    <col min="15612" max="15612" width="0" style="59" hidden="1" customWidth="1"/>
    <col min="15613" max="15613" width="13.90625" style="59" customWidth="1"/>
    <col min="15614" max="15614" width="14.6328125" style="59" customWidth="1"/>
    <col min="15615" max="15615" width="14" style="59" customWidth="1"/>
    <col min="15616" max="15616" width="14.453125" style="59" customWidth="1"/>
    <col min="15617" max="15849" width="9.08984375" style="59"/>
    <col min="15850" max="15858" width="0" style="59" hidden="1" customWidth="1"/>
    <col min="15859" max="15859" width="74.453125" style="59" customWidth="1"/>
    <col min="15860" max="15866" width="0" style="59" hidden="1" customWidth="1"/>
    <col min="15867" max="15867" width="8.984375E-2" style="59" customWidth="1"/>
    <col min="15868" max="15868" width="0" style="59" hidden="1" customWidth="1"/>
    <col min="15869" max="15869" width="13.90625" style="59" customWidth="1"/>
    <col min="15870" max="15870" width="14.6328125" style="59" customWidth="1"/>
    <col min="15871" max="15871" width="14" style="59" customWidth="1"/>
    <col min="15872" max="15872" width="14.453125" style="59" customWidth="1"/>
    <col min="15873" max="16105" width="9.08984375" style="59"/>
    <col min="16106" max="16114" width="0" style="59" hidden="1" customWidth="1"/>
    <col min="16115" max="16115" width="74.453125" style="59" customWidth="1"/>
    <col min="16116" max="16122" width="0" style="59" hidden="1" customWidth="1"/>
    <col min="16123" max="16123" width="8.984375E-2" style="59" customWidth="1"/>
    <col min="16124" max="16124" width="0" style="59" hidden="1" customWidth="1"/>
    <col min="16125" max="16125" width="13.90625" style="59" customWidth="1"/>
    <col min="16126" max="16126" width="14.6328125" style="59" customWidth="1"/>
    <col min="16127" max="16127" width="14" style="59" customWidth="1"/>
    <col min="16128" max="16128" width="14.453125" style="59" customWidth="1"/>
    <col min="16129" max="16384" width="9.08984375" style="59"/>
  </cols>
  <sheetData>
    <row r="1" spans="1:6" ht="5.25" customHeight="1">
      <c r="A1" s="61"/>
      <c r="B1" s="71"/>
      <c r="C1" s="70"/>
      <c r="D1" s="147"/>
      <c r="E1" s="61"/>
    </row>
    <row r="2" spans="1:6" ht="13.5" customHeight="1">
      <c r="A2" s="61"/>
      <c r="B2" s="69"/>
      <c r="C2" s="70"/>
      <c r="D2" s="104"/>
      <c r="E2" s="104" t="s">
        <v>203</v>
      </c>
    </row>
    <row r="3" spans="1:6" ht="13.5" customHeight="1">
      <c r="A3" s="61"/>
      <c r="B3" s="71"/>
      <c r="C3" s="70"/>
      <c r="D3" s="105"/>
      <c r="E3" s="105" t="s">
        <v>20</v>
      </c>
    </row>
    <row r="4" spans="1:6" ht="17.25" customHeight="1">
      <c r="A4" s="257" t="s">
        <v>259</v>
      </c>
      <c r="B4" s="71"/>
      <c r="C4" s="70"/>
      <c r="D4" s="61"/>
      <c r="E4" s="61"/>
    </row>
    <row r="5" spans="1:6" ht="20">
      <c r="A5" s="72"/>
      <c r="B5" s="69"/>
      <c r="C5" s="70"/>
      <c r="D5" s="69"/>
      <c r="E5" s="258" t="s">
        <v>212</v>
      </c>
    </row>
    <row r="6" spans="1:6" ht="15.5">
      <c r="A6" s="73"/>
      <c r="B6" s="74" t="s">
        <v>359</v>
      </c>
      <c r="C6" s="74" t="s">
        <v>159</v>
      </c>
      <c r="D6" s="74" t="s">
        <v>360</v>
      </c>
      <c r="E6" s="107" t="s">
        <v>469</v>
      </c>
    </row>
    <row r="7" spans="1:6" s="60" customFormat="1" ht="20.25" customHeight="1">
      <c r="A7" s="75"/>
      <c r="B7" s="76" t="s">
        <v>73</v>
      </c>
      <c r="C7" s="76" t="s">
        <v>73</v>
      </c>
      <c r="D7" s="76" t="s">
        <v>3</v>
      </c>
      <c r="E7" s="108" t="s">
        <v>74</v>
      </c>
    </row>
    <row r="8" spans="1:6" ht="9.75" customHeight="1">
      <c r="A8" s="220"/>
      <c r="B8" s="71"/>
      <c r="C8" s="70"/>
      <c r="D8" s="221"/>
      <c r="E8" s="221"/>
    </row>
    <row r="9" spans="1:6" s="60" customFormat="1" ht="18" customHeight="1">
      <c r="A9" s="151" t="s">
        <v>97</v>
      </c>
      <c r="B9" s="138">
        <f>B10+B70</f>
        <v>166251</v>
      </c>
      <c r="C9" s="139">
        <f>C10+C70</f>
        <v>454233</v>
      </c>
      <c r="D9" s="139">
        <f>D10+D70</f>
        <v>10432</v>
      </c>
      <c r="E9" s="139">
        <f>E10+E70</f>
        <v>82615</v>
      </c>
    </row>
    <row r="10" spans="1:6" s="60" customFormat="1" ht="18" customHeight="1">
      <c r="A10" s="151" t="s">
        <v>341</v>
      </c>
      <c r="B10" s="134">
        <f>B11-(-B52)</f>
        <v>149741</v>
      </c>
      <c r="C10" s="78">
        <f>C11-(-C52)</f>
        <v>427413</v>
      </c>
      <c r="D10" s="78">
        <f>D11-(-D52)</f>
        <v>48598</v>
      </c>
      <c r="E10" s="78">
        <f>E11-(-E52)</f>
        <v>82615</v>
      </c>
    </row>
    <row r="11" spans="1:6" s="60" customFormat="1" ht="18" customHeight="1">
      <c r="A11" s="153" t="s">
        <v>98</v>
      </c>
      <c r="B11" s="138">
        <f>B12+B26+B30+B35+B36+B37+B40+B49+B50</f>
        <v>4230217</v>
      </c>
      <c r="C11" s="139">
        <f>C12+C26+C30+C35+C36+C37+C40+C49+C50+C51</f>
        <v>4606039</v>
      </c>
      <c r="D11" s="139">
        <f>D12+D26+D30+D35+D36+D37+D40+D49+D50+D51</f>
        <v>4788887</v>
      </c>
      <c r="E11" s="139">
        <f>E12+E26+E30+E35+E36+E37+E40+E49+E50+E51</f>
        <v>5059813</v>
      </c>
      <c r="F11" s="140"/>
    </row>
    <row r="12" spans="1:6" s="60" customFormat="1" ht="18.75" customHeight="1">
      <c r="A12" s="154" t="s">
        <v>273</v>
      </c>
      <c r="B12" s="134">
        <f>B13+B14+B15+B16+B17+B18+B21+B22</f>
        <v>3606155</v>
      </c>
      <c r="C12" s="78">
        <f>C13+C14+C15+C16+C17+C18+C21+C22</f>
        <v>508646</v>
      </c>
      <c r="D12" s="78">
        <f>D13+D14+D15+D16+D17+D18+D21+D22</f>
        <v>309717</v>
      </c>
      <c r="E12" s="78">
        <f>E13+E14+E15+E16+E17+E18+E21+E22</f>
        <v>334341</v>
      </c>
    </row>
    <row r="13" spans="1:6" s="60" customFormat="1" ht="18.75" customHeight="1">
      <c r="A13" s="77" t="s">
        <v>99</v>
      </c>
      <c r="B13" s="134">
        <v>2876164</v>
      </c>
      <c r="C13" s="134">
        <v>181017</v>
      </c>
      <c r="D13" s="78"/>
      <c r="E13" s="78"/>
    </row>
    <row r="14" spans="1:6" s="60" customFormat="1" ht="18.75" customHeight="1">
      <c r="A14" s="77" t="s">
        <v>140</v>
      </c>
      <c r="B14" s="134">
        <v>179363</v>
      </c>
      <c r="C14" s="134">
        <v>11240</v>
      </c>
      <c r="D14" s="78"/>
      <c r="E14" s="78"/>
    </row>
    <row r="15" spans="1:6" s="60" customFormat="1" ht="18.75" customHeight="1">
      <c r="A15" s="77" t="s">
        <v>141</v>
      </c>
      <c r="B15" s="134">
        <v>283418</v>
      </c>
      <c r="C15" s="134">
        <v>17999</v>
      </c>
      <c r="D15" s="78"/>
      <c r="E15" s="78"/>
    </row>
    <row r="16" spans="1:6" s="60" customFormat="1" ht="18.75" customHeight="1">
      <c r="A16" s="154" t="s">
        <v>100</v>
      </c>
      <c r="B16" s="134">
        <v>189297</v>
      </c>
      <c r="C16" s="78">
        <v>242806</v>
      </c>
      <c r="D16" s="78">
        <v>242749</v>
      </c>
      <c r="E16" s="78">
        <v>258675</v>
      </c>
    </row>
    <row r="17" spans="1:5" s="60" customFormat="1" ht="18.75" customHeight="1">
      <c r="A17" s="154" t="s">
        <v>101</v>
      </c>
      <c r="B17" s="134">
        <v>25003</v>
      </c>
      <c r="C17" s="78">
        <v>27708</v>
      </c>
      <c r="D17" s="78">
        <v>29652</v>
      </c>
      <c r="E17" s="78">
        <v>31596</v>
      </c>
    </row>
    <row r="18" spans="1:5" s="60" customFormat="1" ht="18.75" customHeight="1">
      <c r="A18" s="154" t="s">
        <v>142</v>
      </c>
      <c r="B18" s="134">
        <f>B19+B20</f>
        <v>51306</v>
      </c>
      <c r="C18" s="78">
        <f>C19+C20</f>
        <v>26934</v>
      </c>
      <c r="D18" s="78">
        <f>D19+D20</f>
        <v>36085</v>
      </c>
      <c r="E18" s="78">
        <f>E19+E20</f>
        <v>42479</v>
      </c>
    </row>
    <row r="19" spans="1:5" s="60" customFormat="1" ht="18.75" customHeight="1">
      <c r="A19" s="154" t="s">
        <v>272</v>
      </c>
      <c r="B19" s="134">
        <v>48689</v>
      </c>
      <c r="C19" s="78">
        <v>24719</v>
      </c>
      <c r="D19" s="78">
        <v>31439</v>
      </c>
      <c r="E19" s="78">
        <v>37042</v>
      </c>
    </row>
    <row r="20" spans="1:5" s="60" customFormat="1" ht="18.75" customHeight="1">
      <c r="A20" s="154" t="s">
        <v>158</v>
      </c>
      <c r="B20" s="134">
        <v>2617</v>
      </c>
      <c r="C20" s="78">
        <v>2215</v>
      </c>
      <c r="D20" s="78">
        <v>4646</v>
      </c>
      <c r="E20" s="78">
        <v>5437</v>
      </c>
    </row>
    <row r="21" spans="1:5" s="60" customFormat="1" ht="31.5" customHeight="1">
      <c r="A21" s="154" t="s">
        <v>251</v>
      </c>
      <c r="B21" s="134">
        <v>41</v>
      </c>
      <c r="C21" s="78">
        <v>36</v>
      </c>
      <c r="D21" s="78">
        <v>45</v>
      </c>
      <c r="E21" s="78">
        <v>47</v>
      </c>
    </row>
    <row r="22" spans="1:5" s="60" customFormat="1" ht="19.5" customHeight="1">
      <c r="A22" s="154" t="s">
        <v>143</v>
      </c>
      <c r="B22" s="134">
        <f>B23+B24+B25</f>
        <v>1563</v>
      </c>
      <c r="C22" s="134">
        <f>C23+C24+C25</f>
        <v>906</v>
      </c>
      <c r="D22" s="78">
        <f>D23+D24+D25</f>
        <v>1186</v>
      </c>
      <c r="E22" s="78">
        <f>E23+E24+E25</f>
        <v>1544</v>
      </c>
    </row>
    <row r="23" spans="1:5" s="60" customFormat="1" ht="19.5" customHeight="1">
      <c r="A23" s="154" t="s">
        <v>244</v>
      </c>
      <c r="B23" s="134">
        <v>1363</v>
      </c>
      <c r="C23" s="78">
        <v>596</v>
      </c>
      <c r="D23" s="78">
        <v>826</v>
      </c>
      <c r="E23" s="78">
        <v>1075</v>
      </c>
    </row>
    <row r="24" spans="1:5" s="60" customFormat="1" ht="19.5" customHeight="1">
      <c r="A24" s="154" t="s">
        <v>144</v>
      </c>
      <c r="B24" s="134">
        <v>73</v>
      </c>
      <c r="C24" s="78">
        <v>174</v>
      </c>
      <c r="D24" s="78">
        <v>198</v>
      </c>
      <c r="E24" s="78">
        <v>258</v>
      </c>
    </row>
    <row r="25" spans="1:5" s="60" customFormat="1" ht="19.5" customHeight="1">
      <c r="A25" s="154" t="s">
        <v>145</v>
      </c>
      <c r="B25" s="134">
        <v>127</v>
      </c>
      <c r="C25" s="78">
        <v>136</v>
      </c>
      <c r="D25" s="78">
        <v>162</v>
      </c>
      <c r="E25" s="78">
        <v>211</v>
      </c>
    </row>
    <row r="26" spans="1:5" s="60" customFormat="1" ht="15.75" customHeight="1">
      <c r="A26" s="154" t="s">
        <v>361</v>
      </c>
      <c r="B26" s="134">
        <f>B27+B28+B29</f>
        <v>386445</v>
      </c>
      <c r="C26" s="134">
        <f>C27+C28+C29</f>
        <v>2179629</v>
      </c>
      <c r="D26" s="78">
        <f>D27+D28+D29</f>
        <v>2321429</v>
      </c>
      <c r="E26" s="78">
        <f>E27+E28+E29</f>
        <v>2473635</v>
      </c>
    </row>
    <row r="27" spans="1:5" s="60" customFormat="1" ht="14">
      <c r="A27" s="77" t="s">
        <v>271</v>
      </c>
      <c r="B27" s="134">
        <v>386445</v>
      </c>
      <c r="C27" s="78">
        <v>1525624</v>
      </c>
      <c r="D27" s="78">
        <v>1617517</v>
      </c>
      <c r="E27" s="78">
        <v>1723561</v>
      </c>
    </row>
    <row r="28" spans="1:5" s="60" customFormat="1" ht="14">
      <c r="A28" s="77" t="s">
        <v>270</v>
      </c>
      <c r="B28" s="134"/>
      <c r="C28" s="78">
        <v>359956</v>
      </c>
      <c r="D28" s="78">
        <v>386957</v>
      </c>
      <c r="E28" s="78">
        <v>412331</v>
      </c>
    </row>
    <row r="29" spans="1:5" s="60" customFormat="1" ht="14">
      <c r="A29" s="77" t="s">
        <v>269</v>
      </c>
      <c r="B29" s="134"/>
      <c r="C29" s="78">
        <v>294049</v>
      </c>
      <c r="D29" s="78">
        <v>316955</v>
      </c>
      <c r="E29" s="78">
        <v>337743</v>
      </c>
    </row>
    <row r="30" spans="1:5" s="60" customFormat="1" ht="19.5" customHeight="1">
      <c r="A30" s="158" t="s">
        <v>268</v>
      </c>
      <c r="B30" s="134">
        <f>B31+B32+B33+B34</f>
        <v>91949</v>
      </c>
      <c r="C30" s="134">
        <f>C31+C32+C33+C34</f>
        <v>82740</v>
      </c>
      <c r="D30" s="78">
        <f>D31+D32+D33+D34</f>
        <v>86566</v>
      </c>
      <c r="E30" s="78">
        <f>E31+E32+E33+E34</f>
        <v>78529</v>
      </c>
    </row>
    <row r="31" spans="1:5" s="60" customFormat="1" ht="19.5" customHeight="1">
      <c r="A31" s="158" t="s">
        <v>252</v>
      </c>
      <c r="B31" s="134">
        <v>82478</v>
      </c>
      <c r="C31" s="78">
        <v>71218</v>
      </c>
      <c r="D31" s="78">
        <v>68582</v>
      </c>
      <c r="E31" s="78">
        <v>62231</v>
      </c>
    </row>
    <row r="32" spans="1:5" s="60" customFormat="1" ht="19.5" customHeight="1">
      <c r="A32" s="158" t="s">
        <v>253</v>
      </c>
      <c r="B32" s="134">
        <v>3530</v>
      </c>
      <c r="C32" s="78">
        <v>4981</v>
      </c>
      <c r="D32" s="78">
        <v>9736</v>
      </c>
      <c r="E32" s="78">
        <v>8822</v>
      </c>
    </row>
    <row r="33" spans="1:5" s="60" customFormat="1" ht="19.5" customHeight="1">
      <c r="A33" s="158" t="s">
        <v>254</v>
      </c>
      <c r="B33" s="134">
        <v>5548</v>
      </c>
      <c r="C33" s="78">
        <v>6336</v>
      </c>
      <c r="D33" s="78">
        <v>7686</v>
      </c>
      <c r="E33" s="78">
        <v>6961</v>
      </c>
    </row>
    <row r="34" spans="1:5" s="60" customFormat="1" ht="19.5" customHeight="1">
      <c r="A34" s="158" t="s">
        <v>255</v>
      </c>
      <c r="B34" s="134">
        <v>393</v>
      </c>
      <c r="C34" s="78">
        <v>205</v>
      </c>
      <c r="D34" s="78">
        <v>562</v>
      </c>
      <c r="E34" s="78">
        <v>515</v>
      </c>
    </row>
    <row r="35" spans="1:5" s="60" customFormat="1" ht="19.5" customHeight="1">
      <c r="A35" s="150" t="s">
        <v>102</v>
      </c>
      <c r="B35" s="134">
        <v>0</v>
      </c>
      <c r="C35" s="78">
        <v>0</v>
      </c>
      <c r="D35" s="78">
        <v>1</v>
      </c>
      <c r="E35" s="78">
        <v>1</v>
      </c>
    </row>
    <row r="36" spans="1:5" s="60" customFormat="1" ht="19.5" customHeight="1">
      <c r="A36" s="150" t="s">
        <v>103</v>
      </c>
      <c r="B36" s="134">
        <v>940</v>
      </c>
      <c r="C36" s="78">
        <v>991</v>
      </c>
      <c r="D36" s="78">
        <v>908</v>
      </c>
      <c r="E36" s="78">
        <v>908</v>
      </c>
    </row>
    <row r="37" spans="1:5" s="60" customFormat="1" ht="19.5" customHeight="1">
      <c r="A37" s="154" t="s">
        <v>146</v>
      </c>
      <c r="B37" s="134">
        <f>B38+B39</f>
        <v>133400</v>
      </c>
      <c r="C37" s="134">
        <f>C38+C39</f>
        <v>1715675</v>
      </c>
      <c r="D37" s="78">
        <f>D38+D39</f>
        <v>2058527</v>
      </c>
      <c r="E37" s="78">
        <f>E38+E39</f>
        <v>2159832</v>
      </c>
    </row>
    <row r="38" spans="1:5" s="60" customFormat="1" ht="33" customHeight="1">
      <c r="A38" s="154" t="s">
        <v>230</v>
      </c>
      <c r="B38" s="134">
        <v>133400</v>
      </c>
      <c r="C38" s="78">
        <v>1722112</v>
      </c>
      <c r="D38" s="78">
        <v>1918527</v>
      </c>
      <c r="E38" s="78">
        <v>2159832</v>
      </c>
    </row>
    <row r="39" spans="1:5" s="60" customFormat="1" ht="20.25" customHeight="1">
      <c r="A39" s="154" t="s">
        <v>147</v>
      </c>
      <c r="B39" s="134">
        <v>0</v>
      </c>
      <c r="C39" s="78">
        <v>-6437</v>
      </c>
      <c r="D39" s="78">
        <v>140000</v>
      </c>
      <c r="E39" s="78">
        <v>0</v>
      </c>
    </row>
    <row r="40" spans="1:5" s="60" customFormat="1" ht="20.25" customHeight="1">
      <c r="A40" s="154" t="s">
        <v>267</v>
      </c>
      <c r="B40" s="134">
        <f>B41+B48</f>
        <v>11267</v>
      </c>
      <c r="C40" s="134">
        <f>C41+C48</f>
        <v>11648</v>
      </c>
      <c r="D40" s="78">
        <f>D41+D48</f>
        <v>11739</v>
      </c>
      <c r="E40" s="78">
        <f>E41+E48</f>
        <v>12567</v>
      </c>
    </row>
    <row r="41" spans="1:5" s="60" customFormat="1" ht="30" customHeight="1">
      <c r="A41" s="154" t="s">
        <v>266</v>
      </c>
      <c r="B41" s="78">
        <f>B42+B43+B44+B45+B46+B47</f>
        <v>7475.9999999999991</v>
      </c>
      <c r="C41" s="134">
        <f>C42+C43+C44+C45+C46+C47</f>
        <v>7527</v>
      </c>
      <c r="D41" s="78">
        <f>D42+D43+D44+D45+D46+D47</f>
        <v>7554</v>
      </c>
      <c r="E41" s="78">
        <f>E42+E43+E44+E45+E46+E47</f>
        <v>8367</v>
      </c>
    </row>
    <row r="42" spans="1:5" s="60" customFormat="1" ht="20.25" customHeight="1">
      <c r="A42" s="154" t="s">
        <v>104</v>
      </c>
      <c r="B42" s="78">
        <v>812</v>
      </c>
      <c r="C42" s="78">
        <v>466</v>
      </c>
      <c r="D42" s="78">
        <v>482</v>
      </c>
      <c r="E42" s="78">
        <v>556</v>
      </c>
    </row>
    <row r="43" spans="1:5" s="60" customFormat="1" ht="20.25" customHeight="1">
      <c r="A43" s="77" t="s">
        <v>105</v>
      </c>
      <c r="B43" s="78">
        <v>97</v>
      </c>
      <c r="C43" s="78"/>
      <c r="D43" s="78"/>
      <c r="E43" s="78"/>
    </row>
    <row r="44" spans="1:5" s="60" customFormat="1" ht="20.25" customHeight="1">
      <c r="A44" s="154" t="s">
        <v>106</v>
      </c>
      <c r="B44" s="78">
        <v>4147</v>
      </c>
      <c r="C44" s="78">
        <v>2358</v>
      </c>
      <c r="D44" s="78">
        <v>1980</v>
      </c>
      <c r="E44" s="78">
        <v>2021</v>
      </c>
    </row>
    <row r="45" spans="1:5" s="60" customFormat="1" ht="20.25" customHeight="1">
      <c r="A45" s="77" t="s">
        <v>362</v>
      </c>
      <c r="B45" s="78">
        <v>189.9</v>
      </c>
      <c r="C45" s="78">
        <v>144</v>
      </c>
      <c r="D45" s="78">
        <v>197</v>
      </c>
      <c r="E45" s="78">
        <v>217</v>
      </c>
    </row>
    <row r="46" spans="1:5" s="60" customFormat="1" ht="20.25" customHeight="1">
      <c r="A46" s="77" t="s">
        <v>363</v>
      </c>
      <c r="B46" s="78">
        <v>298.89999999999998</v>
      </c>
      <c r="C46" s="78">
        <v>164</v>
      </c>
      <c r="D46" s="78">
        <v>158</v>
      </c>
      <c r="E46" s="78">
        <v>163</v>
      </c>
    </row>
    <row r="47" spans="1:5" s="60" customFormat="1" ht="20.25" customHeight="1">
      <c r="A47" s="77" t="s">
        <v>364</v>
      </c>
      <c r="B47" s="78">
        <f>2420-189.9-298.9</f>
        <v>1931.1999999999998</v>
      </c>
      <c r="C47" s="78">
        <v>4395</v>
      </c>
      <c r="D47" s="78">
        <v>4737</v>
      </c>
      <c r="E47" s="78">
        <f>5028+382</f>
        <v>5410</v>
      </c>
    </row>
    <row r="48" spans="1:5" s="60" customFormat="1" ht="20.25" customHeight="1">
      <c r="A48" s="77" t="s">
        <v>107</v>
      </c>
      <c r="B48" s="78">
        <v>3791</v>
      </c>
      <c r="C48" s="78">
        <v>4121</v>
      </c>
      <c r="D48" s="78">
        <v>4185</v>
      </c>
      <c r="E48" s="78">
        <v>4200</v>
      </c>
    </row>
    <row r="49" spans="1:7" s="60" customFormat="1" ht="20.25" customHeight="1">
      <c r="A49" s="77" t="s">
        <v>231</v>
      </c>
      <c r="B49" s="134"/>
      <c r="C49" s="78"/>
      <c r="D49" s="78"/>
      <c r="E49" s="78"/>
    </row>
    <row r="50" spans="1:7" s="60" customFormat="1" ht="20.25" customHeight="1">
      <c r="A50" s="77" t="s">
        <v>232</v>
      </c>
      <c r="B50" s="134">
        <v>61</v>
      </c>
      <c r="C50" s="204">
        <v>189</v>
      </c>
      <c r="D50" s="204">
        <v>0</v>
      </c>
      <c r="E50" s="204">
        <v>0</v>
      </c>
    </row>
    <row r="51" spans="1:7" s="60" customFormat="1" ht="20.25" customHeight="1">
      <c r="A51" s="77" t="s">
        <v>365</v>
      </c>
      <c r="B51" s="134"/>
      <c r="C51" s="204">
        <v>106521</v>
      </c>
      <c r="D51" s="204"/>
      <c r="E51" s="204"/>
    </row>
    <row r="52" spans="1:7" s="60" customFormat="1" ht="21" customHeight="1">
      <c r="A52" s="153" t="s">
        <v>108</v>
      </c>
      <c r="B52" s="138">
        <f>SUM(B66:B69)+B53+B56+B54+B55</f>
        <v>-4080476</v>
      </c>
      <c r="C52" s="139">
        <f>SUM(C66:C69)+C53+C54+C56+C55</f>
        <v>-4178626</v>
      </c>
      <c r="D52" s="139">
        <f>SUM(D66:D69)+D53+D54+D56+D55</f>
        <v>-4740289</v>
      </c>
      <c r="E52" s="139">
        <f>SUM(E66:E69)+E53+E54+E56+E55</f>
        <v>-4977198</v>
      </c>
    </row>
    <row r="53" spans="1:7" s="60" customFormat="1" ht="20.25" customHeight="1">
      <c r="A53" s="150" t="s">
        <v>109</v>
      </c>
      <c r="B53" s="134">
        <f>-2970233</f>
        <v>-2970233</v>
      </c>
      <c r="C53" s="134">
        <f>-3200371</f>
        <v>-3200371</v>
      </c>
      <c r="D53" s="134">
        <f>-3485314</f>
        <v>-3485314</v>
      </c>
      <c r="E53" s="134">
        <v>-3822660</v>
      </c>
    </row>
    <row r="54" spans="1:7" s="60" customFormat="1" ht="20.25" customHeight="1">
      <c r="A54" s="153" t="s">
        <v>265</v>
      </c>
      <c r="B54" s="134">
        <f>-300897</f>
        <v>-300897</v>
      </c>
      <c r="C54" s="134">
        <f>-312787</f>
        <v>-312787</v>
      </c>
      <c r="D54" s="134">
        <f>-483909</f>
        <v>-483909</v>
      </c>
      <c r="E54" s="134">
        <v>-347621</v>
      </c>
    </row>
    <row r="55" spans="1:7" s="60" customFormat="1" ht="20.25" customHeight="1">
      <c r="A55" s="153" t="s">
        <v>264</v>
      </c>
      <c r="B55" s="134">
        <f>-332842</f>
        <v>-332842</v>
      </c>
      <c r="C55" s="134">
        <f>-335588</f>
        <v>-335588</v>
      </c>
      <c r="D55" s="134">
        <v>-353550</v>
      </c>
      <c r="E55" s="78">
        <v>-373489</v>
      </c>
    </row>
    <row r="56" spans="1:7" s="60" customFormat="1" ht="20.25" customHeight="1">
      <c r="A56" s="150" t="s">
        <v>148</v>
      </c>
      <c r="B56" s="134">
        <f>B57+B59+B58</f>
        <v>-189714</v>
      </c>
      <c r="C56" s="134">
        <f>C57+C58</f>
        <v>-192773</v>
      </c>
      <c r="D56" s="134">
        <f>D57+D58</f>
        <v>-303930</v>
      </c>
      <c r="E56" s="134">
        <f>E57+E58</f>
        <v>-311805</v>
      </c>
    </row>
    <row r="57" spans="1:7" s="60" customFormat="1" ht="20.25" customHeight="1">
      <c r="A57" s="150" t="s">
        <v>149</v>
      </c>
      <c r="B57" s="134">
        <f>-161194</f>
        <v>-161194</v>
      </c>
      <c r="C57" s="78">
        <f>-192773</f>
        <v>-192773</v>
      </c>
      <c r="D57" s="78">
        <f>-303930</f>
        <v>-303930</v>
      </c>
      <c r="E57" s="78">
        <v>-311805</v>
      </c>
    </row>
    <row r="58" spans="1:7" s="60" customFormat="1" ht="20.25" customHeight="1">
      <c r="A58" s="150" t="s">
        <v>150</v>
      </c>
      <c r="B58" s="134">
        <f>0</f>
        <v>0</v>
      </c>
      <c r="C58" s="78">
        <v>0</v>
      </c>
      <c r="D58" s="78">
        <v>0</v>
      </c>
      <c r="E58" s="78">
        <v>0</v>
      </c>
    </row>
    <row r="59" spans="1:7" s="60" customFormat="1" ht="20.25" customHeight="1">
      <c r="A59" s="137" t="s">
        <v>151</v>
      </c>
      <c r="B59" s="134">
        <f>-28520</f>
        <v>-28520</v>
      </c>
      <c r="C59" s="134"/>
      <c r="D59" s="134"/>
      <c r="E59" s="134"/>
      <c r="G59" s="140"/>
    </row>
    <row r="60" spans="1:7" s="60" customFormat="1" ht="39.75" customHeight="1">
      <c r="A60" s="157"/>
      <c r="B60" s="134"/>
      <c r="C60" s="134"/>
      <c r="D60" s="134"/>
      <c r="E60" s="134"/>
      <c r="G60" s="140"/>
    </row>
    <row r="61" spans="1:7" s="60" customFormat="1" ht="20.25" customHeight="1">
      <c r="A61" s="157"/>
      <c r="B61" s="134"/>
      <c r="C61" s="104"/>
      <c r="D61" s="104"/>
      <c r="E61" s="104" t="s">
        <v>203</v>
      </c>
      <c r="G61" s="140"/>
    </row>
    <row r="62" spans="1:7" s="60" customFormat="1" ht="20.25" customHeight="1">
      <c r="A62" s="157"/>
      <c r="B62" s="134"/>
      <c r="C62" s="105"/>
      <c r="D62" s="105"/>
      <c r="E62" s="105" t="s">
        <v>43</v>
      </c>
      <c r="G62" s="140"/>
    </row>
    <row r="63" spans="1:7" s="60" customFormat="1" ht="20.25" customHeight="1">
      <c r="A63" s="157"/>
      <c r="B63" s="134"/>
      <c r="C63" s="106"/>
      <c r="D63" s="106" t="s">
        <v>212</v>
      </c>
      <c r="E63" s="106" t="s">
        <v>212</v>
      </c>
      <c r="G63" s="140"/>
    </row>
    <row r="64" spans="1:7" s="60" customFormat="1" ht="20.25" customHeight="1">
      <c r="A64" s="73"/>
      <c r="B64" s="156" t="s">
        <v>359</v>
      </c>
      <c r="C64" s="74" t="s">
        <v>263</v>
      </c>
      <c r="D64" s="74" t="s">
        <v>360</v>
      </c>
      <c r="E64" s="107" t="s">
        <v>469</v>
      </c>
      <c r="G64" s="140"/>
    </row>
    <row r="65" spans="1:7" s="60" customFormat="1" ht="20.25" customHeight="1">
      <c r="A65" s="75"/>
      <c r="B65" s="155" t="s">
        <v>73</v>
      </c>
      <c r="C65" s="76" t="s">
        <v>73</v>
      </c>
      <c r="D65" s="76" t="s">
        <v>3</v>
      </c>
      <c r="E65" s="108" t="s">
        <v>74</v>
      </c>
      <c r="G65" s="140"/>
    </row>
    <row r="66" spans="1:7" s="60" customFormat="1" ht="20.25" customHeight="1">
      <c r="A66" s="154" t="s">
        <v>152</v>
      </c>
      <c r="B66" s="134">
        <f>-26156</f>
        <v>-26156</v>
      </c>
      <c r="C66" s="134">
        <f>-28671</f>
        <v>-28671</v>
      </c>
      <c r="D66" s="134">
        <f>-29347</f>
        <v>-29347</v>
      </c>
      <c r="E66" s="134">
        <v>-31071</v>
      </c>
    </row>
    <row r="67" spans="1:7" s="60" customFormat="1" ht="20.25" customHeight="1">
      <c r="A67" s="137" t="s">
        <v>110</v>
      </c>
      <c r="B67" s="134">
        <f>-189337</f>
        <v>-189337</v>
      </c>
      <c r="C67" s="134">
        <f>-36188</f>
        <v>-36188</v>
      </c>
      <c r="D67" s="134">
        <f>0</f>
        <v>0</v>
      </c>
      <c r="E67" s="134">
        <f>0</f>
        <v>0</v>
      </c>
    </row>
    <row r="68" spans="1:7" s="60" customFormat="1" ht="20.25" customHeight="1">
      <c r="A68" s="150" t="s">
        <v>111</v>
      </c>
      <c r="B68" s="134">
        <f>-71296</f>
        <v>-71296</v>
      </c>
      <c r="C68" s="134">
        <f>-71792</f>
        <v>-71792</v>
      </c>
      <c r="D68" s="134">
        <v>-83498</v>
      </c>
      <c r="E68" s="134">
        <v>-87731</v>
      </c>
    </row>
    <row r="69" spans="1:7" s="60" customFormat="1" ht="20.25" customHeight="1">
      <c r="A69" s="150" t="s">
        <v>112</v>
      </c>
      <c r="B69" s="134">
        <v>-1</v>
      </c>
      <c r="C69" s="134">
        <f>-456</f>
        <v>-456</v>
      </c>
      <c r="D69" s="134">
        <f>-742+0.3+0.7</f>
        <v>-741</v>
      </c>
      <c r="E69" s="134">
        <f>-2822+0.3+0.7</f>
        <v>-2821</v>
      </c>
      <c r="F69" s="259"/>
    </row>
    <row r="70" spans="1:7" ht="19.5" customHeight="1">
      <c r="A70" s="151" t="s">
        <v>256</v>
      </c>
      <c r="B70" s="138">
        <f>B71+B79</f>
        <v>16510</v>
      </c>
      <c r="C70" s="138">
        <f>C71+C79</f>
        <v>26820</v>
      </c>
      <c r="D70" s="139">
        <f>D71+D79</f>
        <v>-38166</v>
      </c>
      <c r="E70" s="138">
        <f>E71+E79</f>
        <v>0</v>
      </c>
    </row>
    <row r="71" spans="1:7" ht="19.5" customHeight="1">
      <c r="A71" s="150" t="s">
        <v>113</v>
      </c>
      <c r="B71" s="134">
        <f>SUM(B72:B78)</f>
        <v>1712770</v>
      </c>
      <c r="C71" s="134">
        <f>SUM(C72:C78)</f>
        <v>2165026</v>
      </c>
      <c r="D71" s="134">
        <f>SUM(D72:D78)</f>
        <v>2738472</v>
      </c>
      <c r="E71" s="134">
        <f>SUM(E72:E78)</f>
        <v>2442254</v>
      </c>
    </row>
    <row r="72" spans="1:7" ht="19.5" customHeight="1">
      <c r="A72" s="150" t="s">
        <v>245</v>
      </c>
      <c r="B72" s="134">
        <f>171624+1976</f>
        <v>173600</v>
      </c>
      <c r="C72" s="134">
        <v>323883</v>
      </c>
      <c r="D72" s="134">
        <v>529189</v>
      </c>
      <c r="E72" s="134">
        <v>359159</v>
      </c>
    </row>
    <row r="73" spans="1:7" ht="19.5" customHeight="1">
      <c r="A73" s="150" t="s">
        <v>114</v>
      </c>
      <c r="B73" s="134">
        <v>1268061</v>
      </c>
      <c r="C73" s="134">
        <v>1394927</v>
      </c>
      <c r="D73" s="78">
        <v>1452048</v>
      </c>
      <c r="E73" s="78">
        <v>1535089</v>
      </c>
    </row>
    <row r="74" spans="1:7" ht="19.5" customHeight="1">
      <c r="A74" s="77" t="s">
        <v>115</v>
      </c>
      <c r="B74" s="134">
        <v>99179</v>
      </c>
      <c r="C74" s="134">
        <v>278522</v>
      </c>
      <c r="D74" s="134">
        <v>292387</v>
      </c>
      <c r="E74" s="134">
        <v>336101</v>
      </c>
    </row>
    <row r="75" spans="1:7" ht="30.75" customHeight="1">
      <c r="A75" s="154" t="s">
        <v>366</v>
      </c>
      <c r="B75" s="134">
        <v>95157</v>
      </c>
      <c r="C75" s="134">
        <v>110160</v>
      </c>
      <c r="D75" s="134">
        <v>126175</v>
      </c>
      <c r="E75" s="134">
        <v>158997</v>
      </c>
    </row>
    <row r="76" spans="1:7" ht="19.5" customHeight="1">
      <c r="A76" s="137" t="s">
        <v>233</v>
      </c>
      <c r="B76" s="134">
        <v>21063</v>
      </c>
      <c r="C76" s="134">
        <v>23992</v>
      </c>
      <c r="D76" s="134">
        <v>314027</v>
      </c>
      <c r="E76" s="134">
        <v>26829</v>
      </c>
    </row>
    <row r="77" spans="1:7" ht="14">
      <c r="A77" s="137" t="s">
        <v>234</v>
      </c>
      <c r="B77" s="134">
        <v>52915</v>
      </c>
      <c r="C77" s="134">
        <v>26798</v>
      </c>
      <c r="D77" s="134">
        <v>24646</v>
      </c>
      <c r="E77" s="78">
        <v>26079</v>
      </c>
    </row>
    <row r="78" spans="1:7" s="60" customFormat="1" ht="20.25" customHeight="1">
      <c r="A78" s="150" t="s">
        <v>246</v>
      </c>
      <c r="B78" s="134">
        <v>2795</v>
      </c>
      <c r="C78" s="142">
        <v>6744</v>
      </c>
      <c r="D78" s="142">
        <v>0</v>
      </c>
      <c r="E78" s="142">
        <v>0</v>
      </c>
    </row>
    <row r="79" spans="1:7" s="60" customFormat="1" ht="20.25" customHeight="1">
      <c r="A79" s="150" t="s">
        <v>235</v>
      </c>
      <c r="B79" s="134">
        <f>SUM(B80:B86)</f>
        <v>-1696260</v>
      </c>
      <c r="C79" s="78">
        <f>SUM(C80:C86)</f>
        <v>-2138206</v>
      </c>
      <c r="D79" s="134">
        <f>SUM(D80:D86)</f>
        <v>-2776638</v>
      </c>
      <c r="E79" s="134">
        <f>SUM(E80:E86)</f>
        <v>-2442254</v>
      </c>
    </row>
    <row r="80" spans="1:7" s="60" customFormat="1" ht="20.25" customHeight="1">
      <c r="A80" s="137" t="s">
        <v>116</v>
      </c>
      <c r="B80" s="143">
        <f>-169144</f>
        <v>-169144</v>
      </c>
      <c r="C80" s="134">
        <f>-328372</f>
        <v>-328372</v>
      </c>
      <c r="D80" s="134">
        <f>-D72</f>
        <v>-529189</v>
      </c>
      <c r="E80" s="134">
        <f t="shared" ref="D80:E85" si="0">-E72</f>
        <v>-359159</v>
      </c>
    </row>
    <row r="81" spans="1:7" s="60" customFormat="1" ht="20.25" customHeight="1">
      <c r="A81" s="150" t="s">
        <v>117</v>
      </c>
      <c r="B81" s="134">
        <f>-1260057</f>
        <v>-1260057</v>
      </c>
      <c r="C81" s="134">
        <v>-1389759</v>
      </c>
      <c r="D81" s="134">
        <f t="shared" si="0"/>
        <v>-1452048</v>
      </c>
      <c r="E81" s="134">
        <f t="shared" si="0"/>
        <v>-1535089</v>
      </c>
    </row>
    <row r="82" spans="1:7" s="60" customFormat="1" ht="20.25" customHeight="1">
      <c r="A82" s="77" t="s">
        <v>262</v>
      </c>
      <c r="B82" s="134">
        <f>-97141</f>
        <v>-97141</v>
      </c>
      <c r="C82" s="134">
        <v>-249657</v>
      </c>
      <c r="D82" s="134">
        <f t="shared" si="0"/>
        <v>-292387</v>
      </c>
      <c r="E82" s="134">
        <f t="shared" si="0"/>
        <v>-336101</v>
      </c>
    </row>
    <row r="83" spans="1:7" s="60" customFormat="1" ht="35.25" customHeight="1">
      <c r="A83" s="77" t="s">
        <v>261</v>
      </c>
      <c r="B83" s="134">
        <f>-95158</f>
        <v>-95158</v>
      </c>
      <c r="C83" s="134">
        <f>-109741</f>
        <v>-109741</v>
      </c>
      <c r="D83" s="134">
        <f t="shared" si="0"/>
        <v>-126175</v>
      </c>
      <c r="E83" s="134">
        <f t="shared" si="0"/>
        <v>-158997</v>
      </c>
    </row>
    <row r="84" spans="1:7" s="60" customFormat="1" ht="20.25" customHeight="1">
      <c r="A84" s="137" t="s">
        <v>236</v>
      </c>
      <c r="B84" s="134">
        <f>-20837</f>
        <v>-20837</v>
      </c>
      <c r="C84" s="134">
        <f>-23358</f>
        <v>-23358</v>
      </c>
      <c r="D84" s="134">
        <f t="shared" si="0"/>
        <v>-314027</v>
      </c>
      <c r="E84" s="134">
        <f t="shared" si="0"/>
        <v>-26829</v>
      </c>
    </row>
    <row r="85" spans="1:7" s="60" customFormat="1" ht="19.5" customHeight="1">
      <c r="A85" s="137" t="s">
        <v>299</v>
      </c>
      <c r="B85" s="134">
        <f>-52352</f>
        <v>-52352</v>
      </c>
      <c r="C85" s="134">
        <f>-30384</f>
        <v>-30384</v>
      </c>
      <c r="D85" s="134">
        <f t="shared" si="0"/>
        <v>-24646</v>
      </c>
      <c r="E85" s="134">
        <f t="shared" si="0"/>
        <v>-26079</v>
      </c>
    </row>
    <row r="86" spans="1:7" s="60" customFormat="1" ht="18.75" customHeight="1">
      <c r="A86" s="137" t="s">
        <v>300</v>
      </c>
      <c r="B86" s="134">
        <f>-1571</f>
        <v>-1571</v>
      </c>
      <c r="C86" s="134">
        <v>-6935</v>
      </c>
      <c r="D86" s="78">
        <f>-C70-11346</f>
        <v>-38166</v>
      </c>
      <c r="E86" s="134">
        <v>0</v>
      </c>
    </row>
    <row r="87" spans="1:7" s="60" customFormat="1" ht="4.5" customHeight="1">
      <c r="A87" s="141"/>
      <c r="B87" s="144"/>
      <c r="C87" s="145"/>
      <c r="D87" s="142"/>
      <c r="E87" s="142"/>
    </row>
    <row r="88" spans="1:7" s="60" customFormat="1" ht="24" customHeight="1">
      <c r="A88" s="151" t="s">
        <v>118</v>
      </c>
      <c r="B88" s="138">
        <f>SUM(B89:B94)</f>
        <v>-4104</v>
      </c>
      <c r="C88" s="138">
        <f>SUM(C89:C94)</f>
        <v>-3456</v>
      </c>
      <c r="D88" s="138">
        <f>SUM(D89:D94)</f>
        <v>-9372</v>
      </c>
      <c r="E88" s="138">
        <f>SUM(E89:E94)</f>
        <v>-9537</v>
      </c>
    </row>
    <row r="89" spans="1:7" s="60" customFormat="1" ht="20.25" customHeight="1">
      <c r="A89" s="150" t="s">
        <v>367</v>
      </c>
      <c r="B89" s="134">
        <f>-2113</f>
        <v>-2113</v>
      </c>
      <c r="C89" s="78">
        <f>-2405</f>
        <v>-2405</v>
      </c>
      <c r="D89" s="134">
        <f>-7797</f>
        <v>-7797</v>
      </c>
      <c r="E89" s="134">
        <v>-8765</v>
      </c>
    </row>
    <row r="90" spans="1:7" s="60" customFormat="1" ht="18.75" customHeight="1">
      <c r="A90" s="150" t="s">
        <v>368</v>
      </c>
      <c r="B90" s="134">
        <v>0</v>
      </c>
      <c r="C90" s="78">
        <v>0</v>
      </c>
      <c r="D90" s="134">
        <v>0</v>
      </c>
      <c r="E90" s="134">
        <v>0</v>
      </c>
      <c r="G90" s="60" t="s">
        <v>66</v>
      </c>
    </row>
    <row r="91" spans="1:7" s="60" customFormat="1" ht="19.5" customHeight="1">
      <c r="A91" s="150" t="s">
        <v>119</v>
      </c>
      <c r="B91" s="134">
        <f>-2055</f>
        <v>-2055</v>
      </c>
      <c r="C91" s="78">
        <f>-1349</f>
        <v>-1349</v>
      </c>
      <c r="D91" s="134">
        <f>-1975</f>
        <v>-1975</v>
      </c>
      <c r="E91" s="134">
        <v>-872</v>
      </c>
    </row>
    <row r="92" spans="1:7" s="60" customFormat="1" ht="19.5" customHeight="1">
      <c r="A92" s="150" t="s">
        <v>120</v>
      </c>
      <c r="B92" s="134">
        <v>64</v>
      </c>
      <c r="C92" s="78">
        <v>298</v>
      </c>
      <c r="D92" s="134">
        <v>400</v>
      </c>
      <c r="E92" s="134">
        <v>100</v>
      </c>
    </row>
    <row r="93" spans="1:7" s="60" customFormat="1" ht="19.5" customHeight="1">
      <c r="A93" s="150" t="s">
        <v>247</v>
      </c>
      <c r="B93" s="134"/>
      <c r="C93" s="142"/>
      <c r="D93" s="142"/>
      <c r="E93" s="142"/>
    </row>
    <row r="94" spans="1:7" s="60" customFormat="1" ht="19.5" customHeight="1">
      <c r="A94" s="150" t="s">
        <v>121</v>
      </c>
      <c r="B94" s="134"/>
      <c r="C94" s="142"/>
      <c r="D94" s="142"/>
      <c r="E94" s="142"/>
    </row>
    <row r="95" spans="1:7" s="60" customFormat="1" ht="2.25" customHeight="1">
      <c r="A95" s="152"/>
      <c r="B95" s="134"/>
      <c r="C95" s="145"/>
      <c r="D95" s="142"/>
      <c r="E95" s="142"/>
    </row>
    <row r="96" spans="1:7" s="60" customFormat="1" ht="20.25" customHeight="1">
      <c r="A96" s="151" t="s">
        <v>122</v>
      </c>
      <c r="B96" s="138">
        <f>SUM(B97:B103)</f>
        <v>5</v>
      </c>
      <c r="C96" s="138">
        <f>SUM(C97:C103)</f>
        <v>0</v>
      </c>
      <c r="D96" s="138">
        <f>SUM(D97:D103)</f>
        <v>0</v>
      </c>
      <c r="E96" s="138">
        <f>SUM(E97:E103)</f>
        <v>0</v>
      </c>
    </row>
    <row r="97" spans="1:6" s="60" customFormat="1" ht="20.25" customHeight="1">
      <c r="A97" s="150" t="s">
        <v>123</v>
      </c>
      <c r="B97" s="134"/>
      <c r="C97" s="146"/>
      <c r="D97" s="142"/>
      <c r="E97" s="142"/>
    </row>
    <row r="98" spans="1:6" s="60" customFormat="1" ht="20.25" customHeight="1">
      <c r="A98" s="150" t="s">
        <v>124</v>
      </c>
      <c r="B98" s="134"/>
      <c r="C98" s="222"/>
      <c r="D98" s="134"/>
      <c r="E98" s="134"/>
    </row>
    <row r="99" spans="1:6" s="60" customFormat="1" ht="20.25" customHeight="1">
      <c r="A99" s="150" t="s">
        <v>125</v>
      </c>
      <c r="B99" s="134"/>
      <c r="C99" s="222"/>
      <c r="D99" s="134"/>
      <c r="E99" s="134"/>
    </row>
    <row r="100" spans="1:6" s="60" customFormat="1" ht="20.25" customHeight="1">
      <c r="A100" s="150" t="s">
        <v>126</v>
      </c>
      <c r="B100" s="134"/>
      <c r="C100" s="222"/>
      <c r="D100" s="222"/>
      <c r="E100" s="222"/>
    </row>
    <row r="101" spans="1:6" s="60" customFormat="1" ht="20.25" customHeight="1">
      <c r="A101" s="150" t="s">
        <v>237</v>
      </c>
      <c r="B101" s="134"/>
      <c r="C101" s="146"/>
      <c r="D101" s="146"/>
      <c r="E101" s="146"/>
    </row>
    <row r="102" spans="1:6" s="60" customFormat="1" ht="9" customHeight="1">
      <c r="A102" s="150"/>
      <c r="B102" s="134"/>
      <c r="C102" s="146"/>
      <c r="D102" s="146"/>
      <c r="E102" s="146"/>
    </row>
    <row r="103" spans="1:6" s="60" customFormat="1" ht="12" customHeight="1">
      <c r="A103" s="153" t="s">
        <v>260</v>
      </c>
      <c r="B103" s="134">
        <v>5</v>
      </c>
      <c r="C103" s="146"/>
      <c r="D103" s="146"/>
      <c r="E103" s="146"/>
    </row>
    <row r="104" spans="1:6" s="60" customFormat="1" ht="10.5" customHeight="1">
      <c r="A104" s="152"/>
      <c r="B104" s="138"/>
      <c r="C104" s="145"/>
      <c r="D104" s="145"/>
      <c r="E104" s="145"/>
    </row>
    <row r="105" spans="1:6" s="60" customFormat="1" ht="20.25" customHeight="1">
      <c r="A105" s="151" t="s">
        <v>248</v>
      </c>
      <c r="B105" s="138">
        <v>162152</v>
      </c>
      <c r="C105" s="138">
        <f>C111</f>
        <v>450777</v>
      </c>
      <c r="D105" s="138">
        <f>D111</f>
        <v>1060</v>
      </c>
      <c r="E105" s="138">
        <f>E111</f>
        <v>73078</v>
      </c>
    </row>
    <row r="106" spans="1:6" s="60" customFormat="1" ht="8.25" customHeight="1">
      <c r="A106" s="179"/>
      <c r="B106" s="138"/>
      <c r="C106" s="142"/>
      <c r="D106" s="142"/>
      <c r="E106" s="142"/>
    </row>
    <row r="107" spans="1:6" s="60" customFormat="1" ht="20.25" customHeight="1">
      <c r="A107" s="151" t="s">
        <v>249</v>
      </c>
      <c r="B107" s="138"/>
      <c r="C107" s="142"/>
      <c r="D107" s="142"/>
      <c r="E107" s="142"/>
    </row>
    <row r="108" spans="1:6" s="60" customFormat="1" ht="20.25" customHeight="1">
      <c r="A108" s="150" t="s">
        <v>153</v>
      </c>
      <c r="B108" s="134">
        <v>220601</v>
      </c>
      <c r="C108" s="134">
        <f>B114</f>
        <v>382753</v>
      </c>
      <c r="D108" s="134">
        <f>C114</f>
        <v>833530</v>
      </c>
      <c r="E108" s="134">
        <f>D114</f>
        <v>834590</v>
      </c>
    </row>
    <row r="109" spans="1:6" s="60" customFormat="1" ht="20.25" customHeight="1">
      <c r="A109" s="150" t="s">
        <v>238</v>
      </c>
      <c r="B109" s="134"/>
      <c r="C109" s="134">
        <v>0</v>
      </c>
      <c r="D109" s="134">
        <v>194593</v>
      </c>
      <c r="E109" s="134">
        <f>D115</f>
        <v>0</v>
      </c>
      <c r="F109" s="140"/>
    </row>
    <row r="110" spans="1:6" s="60" customFormat="1" ht="14">
      <c r="A110" s="150" t="s">
        <v>239</v>
      </c>
      <c r="B110" s="134"/>
      <c r="C110" s="134"/>
      <c r="D110" s="134">
        <f>D108-D109</f>
        <v>638937</v>
      </c>
      <c r="E110" s="134">
        <f>E108-E109</f>
        <v>834590</v>
      </c>
    </row>
    <row r="111" spans="1:6" s="60" customFormat="1" ht="14">
      <c r="A111" s="150" t="s">
        <v>127</v>
      </c>
      <c r="B111" s="134">
        <f>B114-B108</f>
        <v>162152</v>
      </c>
      <c r="C111" s="134">
        <f>C114-C108</f>
        <v>450777</v>
      </c>
      <c r="D111" s="134">
        <f>D114-D108</f>
        <v>1060</v>
      </c>
      <c r="E111" s="134">
        <f>E114-E108</f>
        <v>73078</v>
      </c>
    </row>
    <row r="112" spans="1:6" s="60" customFormat="1" ht="17.25" customHeight="1">
      <c r="A112" s="150" t="s">
        <v>240</v>
      </c>
      <c r="B112" s="134"/>
      <c r="C112" s="134"/>
      <c r="D112" s="134"/>
      <c r="E112" s="134"/>
    </row>
    <row r="113" spans="1:7" s="60" customFormat="1" ht="21" customHeight="1">
      <c r="A113" s="150" t="s">
        <v>241</v>
      </c>
      <c r="B113" s="134"/>
      <c r="C113" s="134"/>
      <c r="D113" s="134"/>
      <c r="E113" s="134"/>
    </row>
    <row r="114" spans="1:7" s="60" customFormat="1" ht="14">
      <c r="A114" s="150" t="s">
        <v>128</v>
      </c>
      <c r="B114" s="134">
        <f>B115+B116</f>
        <v>382753</v>
      </c>
      <c r="C114" s="134">
        <f>C116+C115</f>
        <v>833530</v>
      </c>
      <c r="D114" s="134">
        <f>D9+D88+D96+D108</f>
        <v>834590</v>
      </c>
      <c r="E114" s="78">
        <f>E9+E88+E96+E108</f>
        <v>907668</v>
      </c>
    </row>
    <row r="115" spans="1:7" s="60" customFormat="1" ht="20.25" customHeight="1">
      <c r="A115" s="150" t="s">
        <v>243</v>
      </c>
      <c r="B115" s="134">
        <v>0</v>
      </c>
      <c r="C115" s="134">
        <v>195043</v>
      </c>
      <c r="D115" s="134">
        <v>0</v>
      </c>
      <c r="E115" s="78">
        <v>626805</v>
      </c>
    </row>
    <row r="116" spans="1:7" s="60" customFormat="1" ht="20.25" customHeight="1">
      <c r="A116" s="150" t="s">
        <v>242</v>
      </c>
      <c r="B116" s="134">
        <v>382753</v>
      </c>
      <c r="C116" s="134">
        <f>C108+C9+C88+C96-C115</f>
        <v>638487</v>
      </c>
      <c r="D116" s="134">
        <f>D114-D115</f>
        <v>834590</v>
      </c>
      <c r="E116" s="78">
        <f>E114-E115</f>
        <v>280863</v>
      </c>
      <c r="F116" s="140"/>
      <c r="G116" s="140"/>
    </row>
    <row r="117" spans="1:7" s="60" customFormat="1" ht="6" customHeight="1">
      <c r="A117" s="137"/>
      <c r="B117" s="149"/>
      <c r="C117" s="180"/>
      <c r="D117" s="180"/>
      <c r="E117" s="180"/>
    </row>
    <row r="118" spans="1:7" s="60" customFormat="1" ht="20.25" customHeight="1">
      <c r="A118" s="181" t="s">
        <v>129</v>
      </c>
      <c r="B118" s="138">
        <v>174459</v>
      </c>
      <c r="C118" s="138">
        <f>-((C52+C89+C91)/12*0.5)</f>
        <v>174265.83333333334</v>
      </c>
      <c r="D118" s="138">
        <v>189340</v>
      </c>
      <c r="E118" s="138">
        <v>207785</v>
      </c>
    </row>
    <row r="119" spans="1:7" s="60" customFormat="1" ht="8.25" customHeight="1">
      <c r="A119" s="182"/>
      <c r="B119" s="70"/>
      <c r="C119" s="148"/>
      <c r="D119" s="147"/>
      <c r="E119" s="313"/>
    </row>
    <row r="120" spans="1:7" s="60" customFormat="1" ht="20.25" customHeight="1">
      <c r="A120" s="182"/>
      <c r="B120" s="71"/>
      <c r="C120" s="183"/>
      <c r="D120" s="147"/>
      <c r="E120" s="314"/>
    </row>
    <row r="121" spans="1:7" s="60" customFormat="1" ht="20.25" customHeight="1"/>
    <row r="122" spans="1:7" s="60" customFormat="1" ht="20.25" customHeight="1">
      <c r="E122" s="140"/>
    </row>
    <row r="123" spans="1:7" s="60" customFormat="1" ht="20.25" customHeight="1"/>
    <row r="124" spans="1:7" s="60" customFormat="1" ht="17.25" customHeight="1"/>
    <row r="125" spans="1:7" s="60" customFormat="1" ht="12" customHeight="1"/>
    <row r="126" spans="1:7" s="60" customFormat="1" ht="20.25" customHeight="1"/>
    <row r="127" spans="1:7">
      <c r="B127" s="59"/>
      <c r="C127" s="59"/>
      <c r="D127" s="59"/>
    </row>
    <row r="128" spans="1:7" ht="13.5" customHeight="1">
      <c r="B128" s="59"/>
      <c r="C128" s="59"/>
      <c r="D128" s="59"/>
    </row>
    <row r="129" hidden="1"/>
    <row r="130" hidden="1"/>
    <row r="131" hidden="1"/>
    <row r="132" hidden="1"/>
    <row r="133" hidden="1"/>
    <row r="134" hidden="1"/>
    <row r="135" hidden="1"/>
    <row r="136" hidden="1"/>
    <row r="137" hidden="1"/>
    <row r="138" hidden="1"/>
    <row r="139" hidden="1"/>
    <row r="140" hidden="1"/>
    <row r="142" ht="15.75" customHeight="1"/>
  </sheetData>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topLeftCell="A8" zoomScale="110" workbookViewId="0">
      <selection activeCell="F14" sqref="F14"/>
    </sheetView>
  </sheetViews>
  <sheetFormatPr defaultColWidth="9.08984375" defaultRowHeight="13"/>
  <cols>
    <col min="1" max="1" width="27.54296875" style="54" customWidth="1"/>
    <col min="2" max="2" width="10" style="54" customWidth="1"/>
    <col min="3" max="3" width="17.90625" style="54" customWidth="1"/>
    <col min="4" max="4" width="14.90625" style="54" customWidth="1"/>
    <col min="5" max="5" width="10.36328125" style="54" customWidth="1"/>
    <col min="6" max="6" width="7.6328125" style="54" customWidth="1"/>
    <col min="7" max="7" width="9.36328125" style="54" bestFit="1" customWidth="1"/>
    <col min="8" max="8" width="9.08984375" style="54"/>
    <col min="9" max="9" width="9.6328125" style="54" bestFit="1" customWidth="1"/>
    <col min="10" max="16384" width="9.08984375" style="54"/>
  </cols>
  <sheetData>
    <row r="1" spans="1:7" ht="13.5" customHeight="1">
      <c r="B1" s="159"/>
      <c r="F1" s="54" t="s">
        <v>214</v>
      </c>
    </row>
    <row r="2" spans="1:7" ht="13.5" customHeight="1">
      <c r="B2" s="159"/>
      <c r="F2" s="54" t="s">
        <v>20</v>
      </c>
      <c r="G2" s="55"/>
    </row>
    <row r="3" spans="1:7" ht="13.5" customHeight="1">
      <c r="B3" s="159"/>
      <c r="G3" s="55"/>
    </row>
    <row r="4" spans="1:7" ht="13.5" customHeight="1">
      <c r="A4" s="453" t="s">
        <v>89</v>
      </c>
      <c r="B4" s="453"/>
      <c r="C4" s="453"/>
      <c r="D4" s="453"/>
      <c r="E4" s="453"/>
      <c r="F4" s="453"/>
    </row>
    <row r="5" spans="1:7" ht="13.5" customHeight="1">
      <c r="A5" s="453" t="s">
        <v>90</v>
      </c>
      <c r="B5" s="453"/>
      <c r="C5" s="453"/>
      <c r="D5" s="453"/>
      <c r="E5" s="453"/>
      <c r="F5" s="453"/>
    </row>
    <row r="6" spans="1:7" ht="18" customHeight="1">
      <c r="B6" s="159"/>
    </row>
    <row r="7" spans="1:7" ht="76.5" customHeight="1">
      <c r="A7" s="454" t="s">
        <v>215</v>
      </c>
      <c r="B7" s="454"/>
      <c r="C7" s="454"/>
      <c r="D7" s="454"/>
      <c r="E7" s="454"/>
      <c r="F7" s="454"/>
    </row>
    <row r="8" spans="1:7" ht="40.5" customHeight="1">
      <c r="A8" s="455" t="s">
        <v>287</v>
      </c>
      <c r="B8" s="455"/>
      <c r="C8" s="455"/>
      <c r="D8" s="455"/>
      <c r="E8" s="455"/>
      <c r="F8" s="455"/>
    </row>
    <row r="9" spans="1:7" ht="38.25" customHeight="1">
      <c r="A9" s="455" t="s">
        <v>406</v>
      </c>
      <c r="B9" s="455"/>
      <c r="C9" s="455"/>
      <c r="D9" s="455"/>
      <c r="E9" s="455"/>
      <c r="F9" s="455"/>
    </row>
    <row r="10" spans="1:7" ht="15" customHeight="1">
      <c r="A10" s="452" t="s">
        <v>288</v>
      </c>
      <c r="B10" s="452"/>
      <c r="C10" s="452"/>
      <c r="D10" s="452"/>
      <c r="E10" s="452"/>
      <c r="F10" s="452"/>
    </row>
    <row r="11" spans="1:7" ht="51.75" customHeight="1">
      <c r="A11" s="454" t="s">
        <v>407</v>
      </c>
      <c r="B11" s="454"/>
      <c r="C11" s="454"/>
      <c r="D11" s="454"/>
      <c r="E11" s="454"/>
      <c r="F11" s="454"/>
    </row>
    <row r="12" spans="1:7" ht="15" customHeight="1">
      <c r="A12" s="459" t="s">
        <v>289</v>
      </c>
      <c r="B12" s="459"/>
      <c r="C12" s="459"/>
      <c r="D12" s="460"/>
      <c r="E12" s="461"/>
      <c r="F12" s="459"/>
    </row>
    <row r="13" spans="1:7" ht="27" customHeight="1">
      <c r="A13" s="56"/>
      <c r="B13" s="56"/>
      <c r="C13" s="56"/>
      <c r="D13" s="326"/>
      <c r="E13" s="338" t="s">
        <v>66</v>
      </c>
      <c r="F13" s="56"/>
    </row>
    <row r="14" spans="1:7" ht="54.75" customHeight="1">
      <c r="B14" s="462" t="s">
        <v>510</v>
      </c>
      <c r="C14" s="462"/>
      <c r="D14" s="342" t="s">
        <v>91</v>
      </c>
      <c r="E14" s="339"/>
    </row>
    <row r="15" spans="1:7" ht="24" customHeight="1">
      <c r="B15" s="456" t="s">
        <v>92</v>
      </c>
      <c r="C15" s="456"/>
      <c r="D15" s="343">
        <v>0.14000000000000001</v>
      </c>
      <c r="E15" s="339"/>
    </row>
    <row r="16" spans="1:7" ht="24" customHeight="1">
      <c r="B16" s="456" t="s">
        <v>93</v>
      </c>
      <c r="C16" s="456"/>
      <c r="D16" s="344">
        <v>0.47</v>
      </c>
      <c r="E16" s="339"/>
    </row>
    <row r="17" spans="1:5" ht="24" customHeight="1">
      <c r="B17" s="456" t="s">
        <v>94</v>
      </c>
      <c r="C17" s="456"/>
      <c r="D17" s="344">
        <v>0.7</v>
      </c>
      <c r="E17" s="339"/>
    </row>
    <row r="18" spans="1:5" ht="24" customHeight="1">
      <c r="B18" s="456" t="s">
        <v>95</v>
      </c>
      <c r="C18" s="456"/>
      <c r="D18" s="345">
        <v>1.4</v>
      </c>
      <c r="E18" s="339"/>
    </row>
    <row r="19" spans="1:5" ht="66.75" customHeight="1">
      <c r="B19" s="457" t="s">
        <v>96</v>
      </c>
      <c r="C19" s="458"/>
      <c r="D19" s="346">
        <v>0.16</v>
      </c>
      <c r="E19" s="339"/>
    </row>
    <row r="20" spans="1:5" ht="16.5" customHeight="1">
      <c r="B20" s="159"/>
      <c r="D20" s="327"/>
      <c r="E20" s="339"/>
    </row>
    <row r="21" spans="1:5" ht="18" customHeight="1">
      <c r="B21" s="159"/>
      <c r="D21" s="327"/>
      <c r="E21" s="339"/>
    </row>
    <row r="22" spans="1:5" ht="18.75" customHeight="1">
      <c r="B22" s="160"/>
      <c r="C22" s="57"/>
      <c r="D22" s="327"/>
      <c r="E22" s="339"/>
    </row>
    <row r="23" spans="1:5" ht="25.5" customHeight="1">
      <c r="B23" s="159"/>
      <c r="D23" s="327"/>
      <c r="E23" s="339"/>
    </row>
    <row r="24" spans="1:5" ht="14.25" customHeight="1">
      <c r="A24" s="58"/>
      <c r="B24" s="160"/>
      <c r="C24" s="57"/>
      <c r="D24" s="328"/>
      <c r="E24" s="339"/>
    </row>
    <row r="25" spans="1:5" ht="49.5" customHeight="1">
      <c r="B25" s="159"/>
      <c r="D25" s="327"/>
      <c r="E25" s="339"/>
    </row>
    <row r="26" spans="1:5">
      <c r="B26" s="159"/>
      <c r="D26" s="327"/>
      <c r="E26" s="339"/>
    </row>
    <row r="27" spans="1:5">
      <c r="B27" s="159"/>
      <c r="D27" s="327"/>
      <c r="E27" s="339"/>
    </row>
    <row r="28" spans="1:5">
      <c r="B28" s="159"/>
      <c r="D28" s="327"/>
      <c r="E28" s="339"/>
    </row>
    <row r="29" spans="1:5" ht="11.25" customHeight="1">
      <c r="B29" s="159"/>
      <c r="D29" s="327"/>
      <c r="E29" s="339"/>
    </row>
    <row r="30" spans="1:5">
      <c r="B30" s="159"/>
      <c r="D30" s="327"/>
      <c r="E30" s="339"/>
    </row>
    <row r="31" spans="1:5">
      <c r="B31" s="159"/>
      <c r="D31" s="327"/>
      <c r="E31" s="339"/>
    </row>
    <row r="32" spans="1:5">
      <c r="B32" s="159"/>
      <c r="D32" s="327"/>
      <c r="E32" s="339"/>
    </row>
    <row r="33" spans="4:5">
      <c r="D33" s="327"/>
      <c r="E33" s="339"/>
    </row>
    <row r="34" spans="4:5">
      <c r="D34" s="327"/>
      <c r="E34" s="339"/>
    </row>
    <row r="35" spans="4:5">
      <c r="D35" s="327"/>
      <c r="E35" s="339"/>
    </row>
    <row r="36" spans="4:5">
      <c r="D36" s="327"/>
      <c r="E36" s="339"/>
    </row>
    <row r="37" spans="4:5">
      <c r="D37" s="327"/>
      <c r="E37" s="339"/>
    </row>
    <row r="38" spans="4:5">
      <c r="D38" s="327"/>
      <c r="E38" s="339"/>
    </row>
    <row r="39" spans="4:5">
      <c r="D39" s="327"/>
      <c r="E39" s="339"/>
    </row>
    <row r="40" spans="4:5">
      <c r="D40" s="327"/>
      <c r="E40" s="339"/>
    </row>
    <row r="41" spans="4:5">
      <c r="D41" s="327"/>
      <c r="E41" s="339"/>
    </row>
    <row r="42" spans="4:5">
      <c r="D42" s="327"/>
      <c r="E42" s="339"/>
    </row>
    <row r="43" spans="4:5">
      <c r="D43" s="327"/>
      <c r="E43" s="339"/>
    </row>
    <row r="44" spans="4:5">
      <c r="D44" s="327"/>
      <c r="E44" s="339"/>
    </row>
    <row r="45" spans="4:5">
      <c r="D45" s="327"/>
      <c r="E45" s="339"/>
    </row>
    <row r="46" spans="4:5">
      <c r="D46" s="327"/>
      <c r="E46" s="339"/>
    </row>
    <row r="47" spans="4:5">
      <c r="D47" s="327"/>
      <c r="E47" s="339"/>
    </row>
    <row r="48" spans="4:5">
      <c r="D48" s="327"/>
      <c r="E48" s="339"/>
    </row>
    <row r="49" spans="4:4">
      <c r="D49" s="327"/>
    </row>
    <row r="50" spans="4:4">
      <c r="D50" s="327"/>
    </row>
    <row r="52" spans="4:4" ht="32.25" customHeight="1"/>
  </sheetData>
  <mergeCells count="14">
    <mergeCell ref="B18:C18"/>
    <mergeCell ref="B19:C19"/>
    <mergeCell ref="A11:F11"/>
    <mergeCell ref="A12:F12"/>
    <mergeCell ref="B14:C14"/>
    <mergeCell ref="B15:C15"/>
    <mergeCell ref="B16:C16"/>
    <mergeCell ref="B17:C17"/>
    <mergeCell ref="A10:F10"/>
    <mergeCell ref="A4:F4"/>
    <mergeCell ref="A5:F5"/>
    <mergeCell ref="A7:F7"/>
    <mergeCell ref="A8:F8"/>
    <mergeCell ref="A9:F9"/>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workbookViewId="0">
      <selection activeCell="D66" sqref="D66:F67"/>
    </sheetView>
  </sheetViews>
  <sheetFormatPr defaultRowHeight="13"/>
  <cols>
    <col min="1" max="1" width="5.453125" style="45" customWidth="1"/>
    <col min="2" max="8" width="9.08984375" style="45"/>
    <col min="9" max="9" width="13.54296875" style="45" customWidth="1"/>
    <col min="10" max="10" width="10.54296875" style="45" customWidth="1"/>
    <col min="11" max="242" width="9.08984375" style="45"/>
    <col min="243" max="243" width="5.453125" style="45" customWidth="1"/>
    <col min="244" max="498" width="9.08984375" style="45"/>
    <col min="499" max="499" width="5.453125" style="45" customWidth="1"/>
    <col min="500" max="754" width="9.08984375" style="45"/>
    <col min="755" max="755" width="5.453125" style="45" customWidth="1"/>
    <col min="756" max="1010" width="9.08984375" style="45"/>
    <col min="1011" max="1011" width="5.453125" style="45" customWidth="1"/>
    <col min="1012" max="1266" width="9.08984375" style="45"/>
    <col min="1267" max="1267" width="5.453125" style="45" customWidth="1"/>
    <col min="1268" max="1522" width="9.08984375" style="45"/>
    <col min="1523" max="1523" width="5.453125" style="45" customWidth="1"/>
    <col min="1524" max="1778" width="9.08984375" style="45"/>
    <col min="1779" max="1779" width="5.453125" style="45" customWidth="1"/>
    <col min="1780" max="2034" width="9.08984375" style="45"/>
    <col min="2035" max="2035" width="5.453125" style="45" customWidth="1"/>
    <col min="2036" max="2290" width="9.08984375" style="45"/>
    <col min="2291" max="2291" width="5.453125" style="45" customWidth="1"/>
    <col min="2292" max="2546" width="9.08984375" style="45"/>
    <col min="2547" max="2547" width="5.453125" style="45" customWidth="1"/>
    <col min="2548" max="2802" width="9.08984375" style="45"/>
    <col min="2803" max="2803" width="5.453125" style="45" customWidth="1"/>
    <col min="2804" max="3058" width="9.08984375" style="45"/>
    <col min="3059" max="3059" width="5.453125" style="45" customWidth="1"/>
    <col min="3060" max="3314" width="9.08984375" style="45"/>
    <col min="3315" max="3315" width="5.453125" style="45" customWidth="1"/>
    <col min="3316" max="3570" width="9.08984375" style="45"/>
    <col min="3571" max="3571" width="5.453125" style="45" customWidth="1"/>
    <col min="3572" max="3826" width="9.08984375" style="45"/>
    <col min="3827" max="3827" width="5.453125" style="45" customWidth="1"/>
    <col min="3828" max="4082" width="9.08984375" style="45"/>
    <col min="4083" max="4083" width="5.453125" style="45" customWidth="1"/>
    <col min="4084" max="4338" width="9.08984375" style="45"/>
    <col min="4339" max="4339" width="5.453125" style="45" customWidth="1"/>
    <col min="4340" max="4594" width="9.08984375" style="45"/>
    <col min="4595" max="4595" width="5.453125" style="45" customWidth="1"/>
    <col min="4596" max="4850" width="9.08984375" style="45"/>
    <col min="4851" max="4851" width="5.453125" style="45" customWidth="1"/>
    <col min="4852" max="5106" width="9.08984375" style="45"/>
    <col min="5107" max="5107" width="5.453125" style="45" customWidth="1"/>
    <col min="5108" max="5362" width="9.08984375" style="45"/>
    <col min="5363" max="5363" width="5.453125" style="45" customWidth="1"/>
    <col min="5364" max="5618" width="9.08984375" style="45"/>
    <col min="5619" max="5619" width="5.453125" style="45" customWidth="1"/>
    <col min="5620" max="5874" width="9.08984375" style="45"/>
    <col min="5875" max="5875" width="5.453125" style="45" customWidth="1"/>
    <col min="5876" max="6130" width="9.08984375" style="45"/>
    <col min="6131" max="6131" width="5.453125" style="45" customWidth="1"/>
    <col min="6132" max="6386" width="9.08984375" style="45"/>
    <col min="6387" max="6387" width="5.453125" style="45" customWidth="1"/>
    <col min="6388" max="6642" width="9.08984375" style="45"/>
    <col min="6643" max="6643" width="5.453125" style="45" customWidth="1"/>
    <col min="6644" max="6898" width="9.08984375" style="45"/>
    <col min="6899" max="6899" width="5.453125" style="45" customWidth="1"/>
    <col min="6900" max="7154" width="9.08984375" style="45"/>
    <col min="7155" max="7155" width="5.453125" style="45" customWidth="1"/>
    <col min="7156" max="7410" width="9.08984375" style="45"/>
    <col min="7411" max="7411" width="5.453125" style="45" customWidth="1"/>
    <col min="7412" max="7666" width="9.08984375" style="45"/>
    <col min="7667" max="7667" width="5.453125" style="45" customWidth="1"/>
    <col min="7668" max="7922" width="9.08984375" style="45"/>
    <col min="7923" max="7923" width="5.453125" style="45" customWidth="1"/>
    <col min="7924" max="8178" width="9.08984375" style="45"/>
    <col min="8179" max="8179" width="5.453125" style="45" customWidth="1"/>
    <col min="8180" max="8434" width="9.08984375" style="45"/>
    <col min="8435" max="8435" width="5.453125" style="45" customWidth="1"/>
    <col min="8436" max="8690" width="9.08984375" style="45"/>
    <col min="8691" max="8691" width="5.453125" style="45" customWidth="1"/>
    <col min="8692" max="8946" width="9.08984375" style="45"/>
    <col min="8947" max="8947" width="5.453125" style="45" customWidth="1"/>
    <col min="8948" max="9202" width="9.08984375" style="45"/>
    <col min="9203" max="9203" width="5.453125" style="45" customWidth="1"/>
    <col min="9204" max="9458" width="9.08984375" style="45"/>
    <col min="9459" max="9459" width="5.453125" style="45" customWidth="1"/>
    <col min="9460" max="9714" width="9.08984375" style="45"/>
    <col min="9715" max="9715" width="5.453125" style="45" customWidth="1"/>
    <col min="9716" max="9970" width="9.08984375" style="45"/>
    <col min="9971" max="9971" width="5.453125" style="45" customWidth="1"/>
    <col min="9972" max="10226" width="9.08984375" style="45"/>
    <col min="10227" max="10227" width="5.453125" style="45" customWidth="1"/>
    <col min="10228" max="10482" width="9.08984375" style="45"/>
    <col min="10483" max="10483" width="5.453125" style="45" customWidth="1"/>
    <col min="10484" max="10738" width="9.08984375" style="45"/>
    <col min="10739" max="10739" width="5.453125" style="45" customWidth="1"/>
    <col min="10740" max="10994" width="9.08984375" style="45"/>
    <col min="10995" max="10995" width="5.453125" style="45" customWidth="1"/>
    <col min="10996" max="11250" width="9.08984375" style="45"/>
    <col min="11251" max="11251" width="5.453125" style="45" customWidth="1"/>
    <col min="11252" max="11506" width="9.08984375" style="45"/>
    <col min="11507" max="11507" width="5.453125" style="45" customWidth="1"/>
    <col min="11508" max="11762" width="9.08984375" style="45"/>
    <col min="11763" max="11763" width="5.453125" style="45" customWidth="1"/>
    <col min="11764" max="12018" width="9.08984375" style="45"/>
    <col min="12019" max="12019" width="5.453125" style="45" customWidth="1"/>
    <col min="12020" max="12274" width="9.08984375" style="45"/>
    <col min="12275" max="12275" width="5.453125" style="45" customWidth="1"/>
    <col min="12276" max="12530" width="9.08984375" style="45"/>
    <col min="12531" max="12531" width="5.453125" style="45" customWidth="1"/>
    <col min="12532" max="12786" width="9.08984375" style="45"/>
    <col min="12787" max="12787" width="5.453125" style="45" customWidth="1"/>
    <col min="12788" max="13042" width="9.08984375" style="45"/>
    <col min="13043" max="13043" width="5.453125" style="45" customWidth="1"/>
    <col min="13044" max="13298" width="9.08984375" style="45"/>
    <col min="13299" max="13299" width="5.453125" style="45" customWidth="1"/>
    <col min="13300" max="13554" width="9.08984375" style="45"/>
    <col min="13555" max="13555" width="5.453125" style="45" customWidth="1"/>
    <col min="13556" max="13810" width="9.08984375" style="45"/>
    <col min="13811" max="13811" width="5.453125" style="45" customWidth="1"/>
    <col min="13812" max="14066" width="9.08984375" style="45"/>
    <col min="14067" max="14067" width="5.453125" style="45" customWidth="1"/>
    <col min="14068" max="14322" width="9.08984375" style="45"/>
    <col min="14323" max="14323" width="5.453125" style="45" customWidth="1"/>
    <col min="14324" max="14578" width="9.08984375" style="45"/>
    <col min="14579" max="14579" width="5.453125" style="45" customWidth="1"/>
    <col min="14580" max="14834" width="9.08984375" style="45"/>
    <col min="14835" max="14835" width="5.453125" style="45" customWidth="1"/>
    <col min="14836" max="15090" width="9.08984375" style="45"/>
    <col min="15091" max="15091" width="5.453125" style="45" customWidth="1"/>
    <col min="15092" max="15346" width="9.08984375" style="45"/>
    <col min="15347" max="15347" width="5.453125" style="45" customWidth="1"/>
    <col min="15348" max="15602" width="9.08984375" style="45"/>
    <col min="15603" max="15603" width="5.453125" style="45" customWidth="1"/>
    <col min="15604" max="15858" width="9.08984375" style="45"/>
    <col min="15859" max="15859" width="5.453125" style="45" customWidth="1"/>
    <col min="15860" max="16114" width="9.08984375" style="45"/>
    <col min="16115" max="16115" width="5.453125" style="45" customWidth="1"/>
    <col min="16116" max="16384" width="9.08984375" style="45"/>
  </cols>
  <sheetData>
    <row r="1" spans="1:9" ht="15.75" customHeight="1">
      <c r="I1" s="46" t="s">
        <v>65</v>
      </c>
    </row>
    <row r="2" spans="1:9" ht="18.75" customHeight="1">
      <c r="I2" s="46" t="s">
        <v>43</v>
      </c>
    </row>
    <row r="3" spans="1:9" ht="51" customHeight="1">
      <c r="A3" s="466" t="s">
        <v>408</v>
      </c>
      <c r="B3" s="466"/>
      <c r="C3" s="466"/>
      <c r="D3" s="466"/>
      <c r="E3" s="466"/>
      <c r="F3" s="466"/>
      <c r="G3" s="466"/>
      <c r="H3" s="466"/>
      <c r="I3" s="466"/>
    </row>
    <row r="4" spans="1:9" ht="6.75" customHeight="1">
      <c r="A4" s="98"/>
      <c r="B4" s="98"/>
      <c r="C4" s="98"/>
      <c r="D4" s="98"/>
      <c r="E4" s="98"/>
      <c r="F4" s="98"/>
      <c r="G4" s="98"/>
      <c r="H4" s="98"/>
      <c r="I4" s="98"/>
    </row>
    <row r="5" spans="1:9" ht="29.25" customHeight="1">
      <c r="A5" s="467" t="s">
        <v>409</v>
      </c>
      <c r="B5" s="467"/>
      <c r="C5" s="467"/>
      <c r="D5" s="467"/>
      <c r="E5" s="467"/>
      <c r="F5" s="467"/>
      <c r="G5" s="467"/>
      <c r="H5" s="467"/>
      <c r="I5" s="467"/>
    </row>
    <row r="6" spans="1:9" ht="7.5" customHeight="1">
      <c r="A6" s="227"/>
      <c r="B6" s="227"/>
      <c r="C6" s="227"/>
      <c r="D6" s="227"/>
      <c r="E6" s="227"/>
      <c r="F6" s="227"/>
      <c r="G6" s="227"/>
      <c r="H6" s="227"/>
      <c r="I6" s="227"/>
    </row>
    <row r="7" spans="1:9" ht="17.5">
      <c r="B7" s="47" t="s">
        <v>410</v>
      </c>
      <c r="C7" s="48"/>
      <c r="D7" s="48"/>
    </row>
    <row r="8" spans="1:9" ht="8.25" customHeight="1">
      <c r="B8" s="49"/>
    </row>
    <row r="9" spans="1:9" ht="14.25" customHeight="1">
      <c r="B9" s="49" t="s">
        <v>67</v>
      </c>
    </row>
    <row r="10" spans="1:9" ht="16.5" customHeight="1">
      <c r="B10" s="468" t="s">
        <v>411</v>
      </c>
      <c r="C10" s="468"/>
      <c r="D10" s="468"/>
      <c r="E10" s="468"/>
      <c r="F10" s="468"/>
      <c r="G10" s="468"/>
      <c r="H10" s="468"/>
      <c r="I10" s="468"/>
    </row>
    <row r="11" spans="1:9" ht="15.75" customHeight="1">
      <c r="B11" s="468" t="s">
        <v>412</v>
      </c>
      <c r="C11" s="468"/>
      <c r="D11" s="468"/>
      <c r="E11" s="468"/>
      <c r="F11" s="468"/>
      <c r="G11" s="468"/>
      <c r="H11" s="468"/>
      <c r="I11" s="468"/>
    </row>
    <row r="12" spans="1:9" ht="13.5" customHeight="1">
      <c r="B12" s="468" t="s">
        <v>413</v>
      </c>
      <c r="C12" s="468"/>
      <c r="D12" s="469"/>
      <c r="E12" s="470"/>
      <c r="F12" s="468"/>
      <c r="G12" s="468"/>
      <c r="H12" s="468"/>
      <c r="I12" s="468"/>
    </row>
    <row r="13" spans="1:9" ht="13.5" customHeight="1">
      <c r="B13" s="468" t="s">
        <v>414</v>
      </c>
      <c r="C13" s="468"/>
      <c r="D13" s="469"/>
      <c r="E13" s="470"/>
      <c r="F13" s="468"/>
      <c r="G13" s="468"/>
      <c r="H13" s="468"/>
      <c r="I13" s="468"/>
    </row>
    <row r="14" spans="1:9" ht="27.75" customHeight="1">
      <c r="B14" s="467" t="s">
        <v>415</v>
      </c>
      <c r="C14" s="467"/>
      <c r="D14" s="471"/>
      <c r="E14" s="472"/>
      <c r="F14" s="467"/>
      <c r="G14" s="467"/>
      <c r="H14" s="467"/>
      <c r="I14" s="467"/>
    </row>
    <row r="15" spans="1:9" ht="5.25" customHeight="1">
      <c r="A15" s="50"/>
      <c r="B15" s="468"/>
      <c r="C15" s="468"/>
      <c r="D15" s="469"/>
      <c r="E15" s="334"/>
      <c r="F15" s="51"/>
      <c r="G15" s="51"/>
      <c r="H15" s="51"/>
      <c r="I15" s="51"/>
    </row>
    <row r="16" spans="1:9" ht="27" customHeight="1">
      <c r="A16" s="467" t="s">
        <v>416</v>
      </c>
      <c r="B16" s="467"/>
      <c r="C16" s="467"/>
      <c r="D16" s="471"/>
      <c r="E16" s="472"/>
      <c r="F16" s="467"/>
      <c r="G16" s="467"/>
      <c r="H16" s="467"/>
      <c r="I16" s="467"/>
    </row>
    <row r="17" spans="1:9" ht="5.25" customHeight="1">
      <c r="B17" s="49"/>
      <c r="D17" s="322"/>
      <c r="E17" s="333"/>
    </row>
    <row r="18" spans="1:9" ht="17.5">
      <c r="B18" s="47" t="s">
        <v>417</v>
      </c>
      <c r="C18" s="228"/>
      <c r="D18" s="323"/>
      <c r="E18" s="335"/>
      <c r="F18" s="228"/>
      <c r="G18" s="228"/>
    </row>
    <row r="19" spans="1:9" ht="5.25" customHeight="1">
      <c r="B19" s="228"/>
      <c r="C19" s="228"/>
      <c r="D19" s="323"/>
      <c r="E19" s="335"/>
    </row>
    <row r="20" spans="1:9">
      <c r="B20" s="49" t="s">
        <v>67</v>
      </c>
      <c r="D20" s="322"/>
      <c r="E20" s="333"/>
    </row>
    <row r="21" spans="1:9" ht="24.75" customHeight="1">
      <c r="B21" s="467" t="s">
        <v>418</v>
      </c>
      <c r="C21" s="467"/>
      <c r="D21" s="471"/>
      <c r="E21" s="472"/>
      <c r="F21" s="467"/>
      <c r="G21" s="467"/>
      <c r="H21" s="467"/>
      <c r="I21" s="467"/>
    </row>
    <row r="22" spans="1:9" ht="15.75" customHeight="1">
      <c r="B22" s="468" t="s">
        <v>419</v>
      </c>
      <c r="C22" s="468"/>
      <c r="D22" s="469"/>
      <c r="E22" s="470"/>
      <c r="F22" s="468"/>
      <c r="G22" s="468"/>
      <c r="H22" s="468"/>
      <c r="I22" s="468"/>
    </row>
    <row r="23" spans="1:9" ht="24.75" customHeight="1">
      <c r="B23" s="463" t="s">
        <v>420</v>
      </c>
      <c r="C23" s="463"/>
      <c r="D23" s="464"/>
      <c r="E23" s="465"/>
      <c r="F23" s="463"/>
      <c r="G23" s="463"/>
      <c r="H23" s="463"/>
      <c r="I23" s="463"/>
    </row>
    <row r="24" spans="1:9" ht="3.75" customHeight="1">
      <c r="D24" s="322"/>
      <c r="E24" s="333"/>
    </row>
    <row r="25" spans="1:9" ht="28.5" customHeight="1">
      <c r="A25" s="467" t="s">
        <v>421</v>
      </c>
      <c r="B25" s="467"/>
      <c r="C25" s="467"/>
      <c r="D25" s="471"/>
      <c r="E25" s="472"/>
      <c r="F25" s="467"/>
      <c r="G25" s="467"/>
      <c r="H25" s="467"/>
      <c r="I25" s="467"/>
    </row>
    <row r="26" spans="1:9" ht="6.75" customHeight="1">
      <c r="D26" s="322"/>
      <c r="E26" s="333"/>
    </row>
    <row r="27" spans="1:9" ht="4.5" customHeight="1">
      <c r="D27" s="322"/>
      <c r="E27" s="333"/>
    </row>
    <row r="28" spans="1:9" ht="17.25" customHeight="1">
      <c r="B28" s="476" t="s">
        <v>508</v>
      </c>
      <c r="C28" s="476"/>
      <c r="D28" s="477"/>
      <c r="E28" s="478"/>
      <c r="F28" s="476"/>
      <c r="G28" s="476"/>
      <c r="H28" s="476"/>
      <c r="I28" s="476"/>
    </row>
    <row r="29" spans="1:9" ht="6" customHeight="1">
      <c r="B29" s="229"/>
      <c r="C29" s="229"/>
      <c r="D29" s="324"/>
      <c r="E29" s="336"/>
      <c r="F29" s="229"/>
      <c r="G29" s="229"/>
      <c r="H29" s="229"/>
      <c r="I29" s="229"/>
    </row>
    <row r="30" spans="1:9" ht="13.5" customHeight="1">
      <c r="B30" s="45" t="s">
        <v>67</v>
      </c>
      <c r="D30" s="322"/>
      <c r="E30" s="333"/>
    </row>
    <row r="31" spans="1:9" ht="26.25" customHeight="1">
      <c r="B31" s="473" t="s">
        <v>374</v>
      </c>
      <c r="C31" s="473"/>
      <c r="D31" s="474"/>
      <c r="E31" s="475"/>
      <c r="F31" s="473"/>
      <c r="G31" s="473"/>
      <c r="H31" s="473"/>
      <c r="I31" s="473"/>
    </row>
    <row r="32" spans="1:9" ht="27" customHeight="1">
      <c r="B32" s="463" t="s">
        <v>422</v>
      </c>
      <c r="C32" s="463"/>
      <c r="D32" s="464"/>
      <c r="E32" s="465"/>
      <c r="F32" s="463"/>
      <c r="G32" s="463"/>
      <c r="H32" s="463"/>
      <c r="I32" s="463"/>
    </row>
    <row r="33" spans="1:9" ht="17.25" customHeight="1">
      <c r="B33" s="479" t="s">
        <v>509</v>
      </c>
      <c r="C33" s="479"/>
      <c r="D33" s="464"/>
      <c r="E33" s="465"/>
      <c r="F33" s="479"/>
      <c r="G33" s="479"/>
      <c r="H33" s="479"/>
      <c r="I33" s="479"/>
    </row>
    <row r="34" spans="1:9" ht="8.25" customHeight="1">
      <c r="D34" s="322"/>
      <c r="E34" s="333"/>
    </row>
    <row r="35" spans="1:9" ht="54.75" customHeight="1">
      <c r="A35" s="467" t="s">
        <v>423</v>
      </c>
      <c r="B35" s="467"/>
      <c r="C35" s="467"/>
      <c r="D35" s="471"/>
      <c r="E35" s="472"/>
      <c r="F35" s="467"/>
      <c r="G35" s="467"/>
      <c r="H35" s="467"/>
      <c r="I35" s="467"/>
    </row>
    <row r="36" spans="1:9" ht="6.75" customHeight="1">
      <c r="D36" s="322"/>
      <c r="E36" s="333"/>
    </row>
    <row r="37" spans="1:9" ht="21" customHeight="1">
      <c r="B37" s="53" t="s">
        <v>375</v>
      </c>
      <c r="D37" s="322"/>
      <c r="E37" s="333"/>
    </row>
    <row r="38" spans="1:9" s="48" customFormat="1" ht="9" customHeight="1">
      <c r="A38" s="45"/>
      <c r="B38" s="45"/>
      <c r="C38" s="45"/>
      <c r="D38" s="322"/>
      <c r="E38" s="333"/>
      <c r="F38" s="45"/>
      <c r="G38" s="45"/>
      <c r="H38" s="45"/>
      <c r="I38" s="45"/>
    </row>
    <row r="39" spans="1:9" ht="22.5" customHeight="1">
      <c r="A39" s="480" t="s">
        <v>424</v>
      </c>
      <c r="B39" s="480"/>
      <c r="C39" s="480"/>
      <c r="D39" s="481"/>
      <c r="E39" s="482"/>
      <c r="F39" s="480"/>
      <c r="G39" s="480"/>
      <c r="H39" s="480"/>
      <c r="I39" s="480"/>
    </row>
    <row r="40" spans="1:9" ht="7.5" customHeight="1">
      <c r="D40" s="322"/>
      <c r="E40" s="337"/>
    </row>
    <row r="41" spans="1:9" ht="18" customHeight="1">
      <c r="B41" s="52" t="s">
        <v>376</v>
      </c>
      <c r="C41" s="52"/>
      <c r="D41" s="325"/>
      <c r="E41" s="333"/>
    </row>
    <row r="42" spans="1:9" ht="8.25" customHeight="1">
      <c r="D42" s="322"/>
      <c r="E42" s="333"/>
    </row>
    <row r="43" spans="1:9" ht="27" customHeight="1">
      <c r="B43" s="467" t="s">
        <v>425</v>
      </c>
      <c r="C43" s="467"/>
      <c r="D43" s="471"/>
      <c r="E43" s="472"/>
      <c r="F43" s="467"/>
      <c r="G43" s="467"/>
      <c r="H43" s="467"/>
      <c r="I43" s="467"/>
    </row>
    <row r="44" spans="1:9">
      <c r="B44" s="467" t="s">
        <v>426</v>
      </c>
      <c r="C44" s="467"/>
      <c r="D44" s="471"/>
      <c r="E44" s="472"/>
      <c r="F44" s="467"/>
      <c r="G44" s="467"/>
      <c r="H44" s="467"/>
      <c r="I44" s="467"/>
    </row>
    <row r="45" spans="1:9">
      <c r="D45" s="322"/>
      <c r="E45" s="333"/>
    </row>
    <row r="46" spans="1:9">
      <c r="D46" s="322"/>
      <c r="E46" s="333"/>
    </row>
    <row r="47" spans="1:9">
      <c r="D47" s="322"/>
      <c r="E47" s="333"/>
    </row>
    <row r="48" spans="1:9">
      <c r="D48" s="322"/>
      <c r="E48" s="333"/>
    </row>
    <row r="49" spans="4:4">
      <c r="D49" s="322"/>
    </row>
    <row r="50" spans="4:4">
      <c r="D50" s="322"/>
    </row>
  </sheetData>
  <mergeCells count="21">
    <mergeCell ref="B44:I44"/>
    <mergeCell ref="B43:I43"/>
    <mergeCell ref="A25:I25"/>
    <mergeCell ref="B31:I31"/>
    <mergeCell ref="B32:I32"/>
    <mergeCell ref="B28:I28"/>
    <mergeCell ref="B33:I33"/>
    <mergeCell ref="A35:I35"/>
    <mergeCell ref="A39:I39"/>
    <mergeCell ref="B23:I23"/>
    <mergeCell ref="A3:I3"/>
    <mergeCell ref="A5:I5"/>
    <mergeCell ref="B10:I10"/>
    <mergeCell ref="B11:I11"/>
    <mergeCell ref="B12:I12"/>
    <mergeCell ref="B13:I13"/>
    <mergeCell ref="B14:I14"/>
    <mergeCell ref="B15:D15"/>
    <mergeCell ref="A16:I16"/>
    <mergeCell ref="B21:I21"/>
    <mergeCell ref="B22:I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workbookViewId="0">
      <selection activeCell="J16" sqref="J16"/>
    </sheetView>
  </sheetViews>
  <sheetFormatPr defaultRowHeight="13"/>
  <cols>
    <col min="1" max="1" width="5.453125" style="45" customWidth="1"/>
    <col min="2" max="8" width="9.08984375" style="45"/>
    <col min="9" max="9" width="14.453125" style="45" customWidth="1"/>
    <col min="10" max="10" width="9.6328125" style="45" customWidth="1"/>
    <col min="11" max="246" width="9.08984375" style="45"/>
    <col min="247" max="247" width="5.453125" style="45" customWidth="1"/>
    <col min="248" max="502" width="9.08984375" style="45"/>
    <col min="503" max="503" width="5.453125" style="45" customWidth="1"/>
    <col min="504" max="758" width="9.08984375" style="45"/>
    <col min="759" max="759" width="5.453125" style="45" customWidth="1"/>
    <col min="760" max="1014" width="9.08984375" style="45"/>
    <col min="1015" max="1015" width="5.453125" style="45" customWidth="1"/>
    <col min="1016" max="1270" width="9.08984375" style="45"/>
    <col min="1271" max="1271" width="5.453125" style="45" customWidth="1"/>
    <col min="1272" max="1526" width="9.08984375" style="45"/>
    <col min="1527" max="1527" width="5.453125" style="45" customWidth="1"/>
    <col min="1528" max="1782" width="9.08984375" style="45"/>
    <col min="1783" max="1783" width="5.453125" style="45" customWidth="1"/>
    <col min="1784" max="2038" width="9.08984375" style="45"/>
    <col min="2039" max="2039" width="5.453125" style="45" customWidth="1"/>
    <col min="2040" max="2294" width="9.08984375" style="45"/>
    <col min="2295" max="2295" width="5.453125" style="45" customWidth="1"/>
    <col min="2296" max="2550" width="9.08984375" style="45"/>
    <col min="2551" max="2551" width="5.453125" style="45" customWidth="1"/>
    <col min="2552" max="2806" width="9.08984375" style="45"/>
    <col min="2807" max="2807" width="5.453125" style="45" customWidth="1"/>
    <col min="2808" max="3062" width="9.08984375" style="45"/>
    <col min="3063" max="3063" width="5.453125" style="45" customWidth="1"/>
    <col min="3064" max="3318" width="9.08984375" style="45"/>
    <col min="3319" max="3319" width="5.453125" style="45" customWidth="1"/>
    <col min="3320" max="3574" width="9.08984375" style="45"/>
    <col min="3575" max="3575" width="5.453125" style="45" customWidth="1"/>
    <col min="3576" max="3830" width="9.08984375" style="45"/>
    <col min="3831" max="3831" width="5.453125" style="45" customWidth="1"/>
    <col min="3832" max="4086" width="9.08984375" style="45"/>
    <col min="4087" max="4087" width="5.453125" style="45" customWidth="1"/>
    <col min="4088" max="4342" width="9.08984375" style="45"/>
    <col min="4343" max="4343" width="5.453125" style="45" customWidth="1"/>
    <col min="4344" max="4598" width="9.08984375" style="45"/>
    <col min="4599" max="4599" width="5.453125" style="45" customWidth="1"/>
    <col min="4600" max="4854" width="9.08984375" style="45"/>
    <col min="4855" max="4855" width="5.453125" style="45" customWidth="1"/>
    <col min="4856" max="5110" width="9.08984375" style="45"/>
    <col min="5111" max="5111" width="5.453125" style="45" customWidth="1"/>
    <col min="5112" max="5366" width="9.08984375" style="45"/>
    <col min="5367" max="5367" width="5.453125" style="45" customWidth="1"/>
    <col min="5368" max="5622" width="9.08984375" style="45"/>
    <col min="5623" max="5623" width="5.453125" style="45" customWidth="1"/>
    <col min="5624" max="5878" width="9.08984375" style="45"/>
    <col min="5879" max="5879" width="5.453125" style="45" customWidth="1"/>
    <col min="5880" max="6134" width="9.08984375" style="45"/>
    <col min="6135" max="6135" width="5.453125" style="45" customWidth="1"/>
    <col min="6136" max="6390" width="9.08984375" style="45"/>
    <col min="6391" max="6391" width="5.453125" style="45" customWidth="1"/>
    <col min="6392" max="6646" width="9.08984375" style="45"/>
    <col min="6647" max="6647" width="5.453125" style="45" customWidth="1"/>
    <col min="6648" max="6902" width="9.08984375" style="45"/>
    <col min="6903" max="6903" width="5.453125" style="45" customWidth="1"/>
    <col min="6904" max="7158" width="9.08984375" style="45"/>
    <col min="7159" max="7159" width="5.453125" style="45" customWidth="1"/>
    <col min="7160" max="7414" width="9.08984375" style="45"/>
    <col min="7415" max="7415" width="5.453125" style="45" customWidth="1"/>
    <col min="7416" max="7670" width="9.08984375" style="45"/>
    <col min="7671" max="7671" width="5.453125" style="45" customWidth="1"/>
    <col min="7672" max="7926" width="9.08984375" style="45"/>
    <col min="7927" max="7927" width="5.453125" style="45" customWidth="1"/>
    <col min="7928" max="8182" width="9.08984375" style="45"/>
    <col min="8183" max="8183" width="5.453125" style="45" customWidth="1"/>
    <col min="8184" max="8438" width="9.08984375" style="45"/>
    <col min="8439" max="8439" width="5.453125" style="45" customWidth="1"/>
    <col min="8440" max="8694" width="9.08984375" style="45"/>
    <col min="8695" max="8695" width="5.453125" style="45" customWidth="1"/>
    <col min="8696" max="8950" width="9.08984375" style="45"/>
    <col min="8951" max="8951" width="5.453125" style="45" customWidth="1"/>
    <col min="8952" max="9206" width="9.08984375" style="45"/>
    <col min="9207" max="9207" width="5.453125" style="45" customWidth="1"/>
    <col min="9208" max="9462" width="9.08984375" style="45"/>
    <col min="9463" max="9463" width="5.453125" style="45" customWidth="1"/>
    <col min="9464" max="9718" width="9.08984375" style="45"/>
    <col min="9719" max="9719" width="5.453125" style="45" customWidth="1"/>
    <col min="9720" max="9974" width="9.08984375" style="45"/>
    <col min="9975" max="9975" width="5.453125" style="45" customWidth="1"/>
    <col min="9976" max="10230" width="9.08984375" style="45"/>
    <col min="10231" max="10231" width="5.453125" style="45" customWidth="1"/>
    <col min="10232" max="10486" width="9.08984375" style="45"/>
    <col min="10487" max="10487" width="5.453125" style="45" customWidth="1"/>
    <col min="10488" max="10742" width="9.08984375" style="45"/>
    <col min="10743" max="10743" width="5.453125" style="45" customWidth="1"/>
    <col min="10744" max="10998" width="9.08984375" style="45"/>
    <col min="10999" max="10999" width="5.453125" style="45" customWidth="1"/>
    <col min="11000" max="11254" width="9.08984375" style="45"/>
    <col min="11255" max="11255" width="5.453125" style="45" customWidth="1"/>
    <col min="11256" max="11510" width="9.08984375" style="45"/>
    <col min="11511" max="11511" width="5.453125" style="45" customWidth="1"/>
    <col min="11512" max="11766" width="9.08984375" style="45"/>
    <col min="11767" max="11767" width="5.453125" style="45" customWidth="1"/>
    <col min="11768" max="12022" width="9.08984375" style="45"/>
    <col min="12023" max="12023" width="5.453125" style="45" customWidth="1"/>
    <col min="12024" max="12278" width="9.08984375" style="45"/>
    <col min="12279" max="12279" width="5.453125" style="45" customWidth="1"/>
    <col min="12280" max="12534" width="9.08984375" style="45"/>
    <col min="12535" max="12535" width="5.453125" style="45" customWidth="1"/>
    <col min="12536" max="12790" width="9.08984375" style="45"/>
    <col min="12791" max="12791" width="5.453125" style="45" customWidth="1"/>
    <col min="12792" max="13046" width="9.08984375" style="45"/>
    <col min="13047" max="13047" width="5.453125" style="45" customWidth="1"/>
    <col min="13048" max="13302" width="9.08984375" style="45"/>
    <col min="13303" max="13303" width="5.453125" style="45" customWidth="1"/>
    <col min="13304" max="13558" width="9.08984375" style="45"/>
    <col min="13559" max="13559" width="5.453125" style="45" customWidth="1"/>
    <col min="13560" max="13814" width="9.08984375" style="45"/>
    <col min="13815" max="13815" width="5.453125" style="45" customWidth="1"/>
    <col min="13816" max="14070" width="9.08984375" style="45"/>
    <col min="14071" max="14071" width="5.453125" style="45" customWidth="1"/>
    <col min="14072" max="14326" width="9.08984375" style="45"/>
    <col min="14327" max="14327" width="5.453125" style="45" customWidth="1"/>
    <col min="14328" max="14582" width="9.08984375" style="45"/>
    <col min="14583" max="14583" width="5.453125" style="45" customWidth="1"/>
    <col min="14584" max="14838" width="9.08984375" style="45"/>
    <col min="14839" max="14839" width="5.453125" style="45" customWidth="1"/>
    <col min="14840" max="15094" width="9.08984375" style="45"/>
    <col min="15095" max="15095" width="5.453125" style="45" customWidth="1"/>
    <col min="15096" max="15350" width="9.08984375" style="45"/>
    <col min="15351" max="15351" width="5.453125" style="45" customWidth="1"/>
    <col min="15352" max="15606" width="9.08984375" style="45"/>
    <col min="15607" max="15607" width="5.453125" style="45" customWidth="1"/>
    <col min="15608" max="15862" width="9.08984375" style="45"/>
    <col min="15863" max="15863" width="5.453125" style="45" customWidth="1"/>
    <col min="15864" max="16118" width="9.08984375" style="45"/>
    <col min="16119" max="16119" width="5.453125" style="45" customWidth="1"/>
    <col min="16120" max="16384" width="9.08984375" style="45"/>
  </cols>
  <sheetData>
    <row r="1" spans="1:18">
      <c r="I1" s="46" t="s">
        <v>65</v>
      </c>
    </row>
    <row r="2" spans="1:18">
      <c r="I2" s="46" t="s">
        <v>48</v>
      </c>
    </row>
    <row r="3" spans="1:18" ht="51" customHeight="1">
      <c r="A3" s="466" t="s">
        <v>427</v>
      </c>
      <c r="B3" s="466"/>
      <c r="C3" s="466"/>
      <c r="D3" s="466"/>
      <c r="E3" s="466"/>
      <c r="F3" s="466"/>
      <c r="G3" s="466"/>
      <c r="H3" s="466"/>
      <c r="I3" s="466"/>
    </row>
    <row r="4" spans="1:18" ht="29.25" customHeight="1">
      <c r="A4" s="467" t="s">
        <v>409</v>
      </c>
      <c r="B4" s="467"/>
      <c r="C4" s="467"/>
      <c r="D4" s="467"/>
      <c r="E4" s="467"/>
      <c r="F4" s="467"/>
      <c r="G4" s="467"/>
      <c r="H4" s="467"/>
      <c r="I4" s="467"/>
      <c r="P4" s="187"/>
    </row>
    <row r="5" spans="1:18" ht="7.5" customHeight="1">
      <c r="A5" s="341"/>
      <c r="B5" s="341"/>
      <c r="C5" s="341"/>
      <c r="D5" s="341"/>
      <c r="E5" s="341"/>
      <c r="F5" s="341"/>
      <c r="G5" s="341"/>
      <c r="H5" s="341"/>
      <c r="I5" s="341"/>
    </row>
    <row r="6" spans="1:18" ht="17.5">
      <c r="B6" s="47" t="s">
        <v>410</v>
      </c>
      <c r="C6" s="48"/>
      <c r="D6" s="48"/>
    </row>
    <row r="7" spans="1:18" ht="6.75" customHeight="1">
      <c r="B7" s="49"/>
    </row>
    <row r="8" spans="1:18">
      <c r="B8" s="49" t="s">
        <v>67</v>
      </c>
      <c r="L8" s="184"/>
      <c r="R8" s="184"/>
    </row>
    <row r="9" spans="1:18" ht="15">
      <c r="B9" s="468" t="s">
        <v>411</v>
      </c>
      <c r="C9" s="468"/>
      <c r="D9" s="468"/>
      <c r="E9" s="468"/>
      <c r="F9" s="468"/>
      <c r="G9" s="468"/>
      <c r="H9" s="468"/>
      <c r="I9" s="468"/>
    </row>
    <row r="10" spans="1:18">
      <c r="B10" s="468" t="s">
        <v>412</v>
      </c>
      <c r="C10" s="468"/>
      <c r="D10" s="468"/>
      <c r="E10" s="468"/>
      <c r="F10" s="468"/>
      <c r="G10" s="468"/>
      <c r="H10" s="468"/>
      <c r="I10" s="468"/>
    </row>
    <row r="11" spans="1:18">
      <c r="B11" s="468" t="s">
        <v>413</v>
      </c>
      <c r="C11" s="468"/>
      <c r="D11" s="468"/>
      <c r="E11" s="468"/>
      <c r="F11" s="468"/>
      <c r="G11" s="468"/>
      <c r="H11" s="468"/>
      <c r="I11" s="468"/>
      <c r="R11" s="188"/>
    </row>
    <row r="12" spans="1:18">
      <c r="B12" s="468" t="s">
        <v>414</v>
      </c>
      <c r="C12" s="468"/>
      <c r="D12" s="468"/>
      <c r="E12" s="468"/>
      <c r="F12" s="468"/>
      <c r="G12" s="468"/>
      <c r="H12" s="468"/>
      <c r="I12" s="468"/>
    </row>
    <row r="13" spans="1:18" ht="25.5" customHeight="1">
      <c r="B13" s="467" t="s">
        <v>415</v>
      </c>
      <c r="C13" s="467"/>
      <c r="D13" s="467"/>
      <c r="E13" s="467"/>
      <c r="F13" s="467"/>
      <c r="G13" s="467"/>
      <c r="H13" s="467"/>
      <c r="I13" s="467"/>
    </row>
    <row r="14" spans="1:18" ht="14.25" customHeight="1">
      <c r="A14" s="135"/>
      <c r="B14" s="161"/>
      <c r="C14" s="161"/>
      <c r="D14" s="135"/>
      <c r="E14" s="135"/>
      <c r="F14" s="135"/>
      <c r="G14" s="135"/>
      <c r="H14" s="135"/>
      <c r="I14" s="135"/>
      <c r="O14" s="185"/>
      <c r="P14" s="185"/>
    </row>
    <row r="15" spans="1:18" ht="27" customHeight="1">
      <c r="A15" s="467" t="s">
        <v>428</v>
      </c>
      <c r="B15" s="467"/>
      <c r="C15" s="467"/>
      <c r="D15" s="467"/>
      <c r="E15" s="467"/>
      <c r="F15" s="467"/>
      <c r="G15" s="467"/>
      <c r="H15" s="467"/>
      <c r="I15" s="467"/>
      <c r="O15" s="185"/>
      <c r="P15" s="185"/>
    </row>
    <row r="16" spans="1:18" ht="14.25" customHeight="1">
      <c r="A16" s="135"/>
      <c r="B16" s="161"/>
      <c r="C16" s="161"/>
      <c r="D16" s="135"/>
      <c r="E16" s="135"/>
      <c r="F16" s="135"/>
      <c r="G16" s="135"/>
      <c r="H16" s="135"/>
      <c r="I16" s="135"/>
      <c r="O16" s="185"/>
      <c r="P16" s="185"/>
    </row>
    <row r="17" spans="1:16" ht="18" customHeight="1">
      <c r="A17" s="135"/>
      <c r="B17" s="484" t="s">
        <v>429</v>
      </c>
      <c r="C17" s="484"/>
      <c r="D17" s="484"/>
      <c r="E17" s="484"/>
      <c r="F17" s="484"/>
      <c r="G17" s="484"/>
      <c r="L17" s="184"/>
      <c r="O17" s="185"/>
      <c r="P17" s="185"/>
    </row>
    <row r="18" spans="1:16" ht="18" customHeight="1">
      <c r="A18" s="135"/>
      <c r="B18" s="45" t="s">
        <v>67</v>
      </c>
      <c r="O18" s="185"/>
      <c r="P18" s="185"/>
    </row>
    <row r="19" spans="1:16" ht="28.5" customHeight="1">
      <c r="A19" s="135"/>
      <c r="B19" s="467" t="s">
        <v>430</v>
      </c>
      <c r="C19" s="467"/>
      <c r="D19" s="467"/>
      <c r="E19" s="467"/>
      <c r="F19" s="467"/>
      <c r="G19" s="467"/>
      <c r="H19" s="467"/>
      <c r="I19" s="467"/>
      <c r="L19" s="184"/>
      <c r="O19" s="185"/>
      <c r="P19" s="185"/>
    </row>
    <row r="20" spans="1:16" ht="23.25" customHeight="1">
      <c r="A20" s="135"/>
      <c r="B20" s="468" t="s">
        <v>431</v>
      </c>
      <c r="C20" s="468"/>
      <c r="D20" s="468"/>
      <c r="E20" s="468"/>
      <c r="F20" s="468"/>
      <c r="G20" s="468"/>
      <c r="H20" s="468"/>
      <c r="I20" s="468"/>
      <c r="O20" s="185"/>
      <c r="P20" s="185"/>
    </row>
    <row r="21" spans="1:16" ht="29.25" customHeight="1">
      <c r="A21" s="135"/>
      <c r="B21" s="467" t="s">
        <v>432</v>
      </c>
      <c r="C21" s="467"/>
      <c r="D21" s="467"/>
      <c r="E21" s="467"/>
      <c r="F21" s="467"/>
      <c r="G21" s="467"/>
      <c r="H21" s="467"/>
      <c r="I21" s="467"/>
      <c r="O21" s="185"/>
      <c r="P21" s="185"/>
    </row>
    <row r="22" spans="1:16" ht="18" customHeight="1">
      <c r="A22" s="135"/>
      <c r="B22" s="161"/>
      <c r="C22" s="161"/>
      <c r="D22" s="135"/>
      <c r="E22" s="135"/>
      <c r="F22" s="135"/>
      <c r="G22" s="135"/>
      <c r="H22" s="135"/>
      <c r="I22" s="135"/>
      <c r="O22" s="185"/>
      <c r="P22" s="185"/>
    </row>
    <row r="23" spans="1:16" ht="25.5" customHeight="1">
      <c r="A23" s="467" t="s">
        <v>433</v>
      </c>
      <c r="B23" s="467"/>
      <c r="C23" s="467"/>
      <c r="D23" s="467"/>
      <c r="E23" s="467"/>
      <c r="F23" s="467"/>
      <c r="G23" s="467"/>
      <c r="H23" s="467"/>
      <c r="I23" s="467"/>
      <c r="O23" s="185"/>
      <c r="P23" s="185"/>
    </row>
    <row r="24" spans="1:16" ht="18" customHeight="1">
      <c r="A24" s="135"/>
      <c r="B24" s="161"/>
      <c r="C24" s="161"/>
      <c r="D24" s="135"/>
      <c r="E24" s="135"/>
      <c r="F24" s="135"/>
      <c r="G24" s="135"/>
      <c r="H24" s="135"/>
      <c r="I24" s="135"/>
      <c r="L24" s="184"/>
      <c r="O24" s="185"/>
      <c r="P24" s="185"/>
    </row>
    <row r="25" spans="1:16" ht="18" customHeight="1">
      <c r="A25" s="135"/>
      <c r="B25" s="484" t="s">
        <v>522</v>
      </c>
      <c r="C25" s="484"/>
      <c r="D25" s="484"/>
      <c r="E25" s="484"/>
      <c r="F25" s="484"/>
      <c r="G25" s="484"/>
      <c r="L25" s="184"/>
      <c r="M25" s="184"/>
      <c r="O25" s="185"/>
      <c r="P25" s="185"/>
    </row>
    <row r="26" spans="1:16" ht="18" customHeight="1">
      <c r="A26" s="135"/>
      <c r="B26" s="45" t="s">
        <v>67</v>
      </c>
      <c r="L26" s="184"/>
      <c r="M26" s="184"/>
      <c r="O26" s="185"/>
      <c r="P26" s="185"/>
    </row>
    <row r="27" spans="1:16" ht="26.25" customHeight="1">
      <c r="A27" s="135"/>
      <c r="B27" s="467" t="s">
        <v>377</v>
      </c>
      <c r="C27" s="467"/>
      <c r="D27" s="467"/>
      <c r="E27" s="467"/>
      <c r="F27" s="467"/>
      <c r="G27" s="467"/>
      <c r="H27" s="467"/>
      <c r="I27" s="467"/>
      <c r="O27" s="185"/>
      <c r="P27" s="185"/>
    </row>
    <row r="28" spans="1:16" ht="30.75" customHeight="1">
      <c r="A28" s="135"/>
      <c r="B28" s="467" t="s">
        <v>434</v>
      </c>
      <c r="C28" s="467"/>
      <c r="D28" s="467"/>
      <c r="E28" s="467"/>
      <c r="F28" s="467"/>
      <c r="G28" s="467"/>
      <c r="H28" s="467"/>
      <c r="I28" s="467"/>
      <c r="O28" s="185"/>
      <c r="P28" s="185"/>
    </row>
    <row r="29" spans="1:16" ht="30" customHeight="1">
      <c r="A29" s="135"/>
      <c r="B29" s="467" t="s">
        <v>521</v>
      </c>
      <c r="C29" s="467"/>
      <c r="D29" s="467"/>
      <c r="E29" s="467"/>
      <c r="F29" s="467"/>
      <c r="G29" s="467"/>
      <c r="H29" s="467"/>
      <c r="I29" s="467"/>
      <c r="O29" s="185"/>
      <c r="P29" s="185"/>
    </row>
    <row r="30" spans="1:16" ht="18" customHeight="1">
      <c r="A30" s="135"/>
      <c r="B30" s="161"/>
      <c r="C30" s="161"/>
      <c r="D30" s="135"/>
      <c r="E30" s="135"/>
      <c r="F30" s="135"/>
      <c r="G30" s="135"/>
      <c r="H30" s="135"/>
      <c r="I30" s="135"/>
      <c r="O30" s="185"/>
      <c r="P30" s="185"/>
    </row>
    <row r="31" spans="1:16" ht="23.25" customHeight="1">
      <c r="A31" s="467" t="s">
        <v>435</v>
      </c>
      <c r="B31" s="467"/>
      <c r="C31" s="467"/>
      <c r="D31" s="467"/>
      <c r="E31" s="467"/>
      <c r="F31" s="467"/>
      <c r="G31" s="467"/>
      <c r="H31" s="467"/>
      <c r="I31" s="467"/>
      <c r="O31" s="185"/>
      <c r="P31" s="185"/>
    </row>
    <row r="32" spans="1:16" ht="15.75" customHeight="1">
      <c r="A32" s="135"/>
      <c r="B32" s="161"/>
      <c r="C32" s="161"/>
      <c r="D32" s="135"/>
      <c r="E32" s="135"/>
      <c r="F32" s="135"/>
      <c r="G32" s="135"/>
      <c r="H32" s="135"/>
      <c r="I32" s="135"/>
      <c r="O32" s="185"/>
      <c r="P32" s="185"/>
    </row>
    <row r="33" spans="1:16" ht="18" customHeight="1">
      <c r="A33" s="135"/>
      <c r="B33" s="484" t="s">
        <v>520</v>
      </c>
      <c r="C33" s="484"/>
      <c r="D33" s="484"/>
      <c r="E33" s="484"/>
      <c r="F33" s="484"/>
      <c r="G33" s="484"/>
      <c r="O33" s="185"/>
      <c r="P33" s="185"/>
    </row>
    <row r="34" spans="1:16" ht="18" customHeight="1">
      <c r="A34" s="135"/>
      <c r="B34" s="45" t="s">
        <v>67</v>
      </c>
      <c r="L34" s="184"/>
      <c r="O34" s="185"/>
      <c r="P34" s="185"/>
    </row>
    <row r="35" spans="1:16" ht="24.75" customHeight="1">
      <c r="A35" s="135"/>
      <c r="B35" s="467" t="s">
        <v>436</v>
      </c>
      <c r="C35" s="467"/>
      <c r="D35" s="467"/>
      <c r="E35" s="467"/>
      <c r="F35" s="467"/>
      <c r="G35" s="467"/>
      <c r="H35" s="467"/>
      <c r="I35" s="467"/>
      <c r="O35" s="185"/>
      <c r="P35" s="185"/>
    </row>
    <row r="36" spans="1:16" ht="20.25" customHeight="1">
      <c r="A36" s="135"/>
      <c r="B36" s="468" t="s">
        <v>431</v>
      </c>
      <c r="C36" s="468"/>
      <c r="D36" s="468"/>
      <c r="E36" s="468"/>
      <c r="F36" s="468"/>
      <c r="G36" s="468"/>
      <c r="H36" s="468"/>
      <c r="I36" s="468"/>
      <c r="O36" s="185"/>
      <c r="P36" s="185"/>
    </row>
    <row r="37" spans="1:16" ht="28.5" customHeight="1">
      <c r="A37" s="135"/>
      <c r="B37" s="467" t="s">
        <v>519</v>
      </c>
      <c r="C37" s="467"/>
      <c r="D37" s="467"/>
      <c r="E37" s="467"/>
      <c r="F37" s="467"/>
      <c r="G37" s="467"/>
      <c r="H37" s="467"/>
      <c r="I37" s="467"/>
      <c r="O37" s="185"/>
      <c r="P37" s="185"/>
    </row>
    <row r="38" spans="1:16" ht="20.25" customHeight="1">
      <c r="A38" s="135"/>
      <c r="B38" s="341"/>
      <c r="C38" s="341"/>
      <c r="D38" s="341"/>
      <c r="E38" s="341"/>
      <c r="F38" s="341"/>
      <c r="G38" s="341"/>
      <c r="H38" s="341"/>
      <c r="I38" s="46" t="s">
        <v>65</v>
      </c>
      <c r="O38" s="185"/>
      <c r="P38" s="185"/>
    </row>
    <row r="39" spans="1:16" ht="18" customHeight="1">
      <c r="A39" s="135"/>
      <c r="B39" s="161"/>
      <c r="C39" s="161"/>
      <c r="D39" s="135"/>
      <c r="E39" s="135"/>
      <c r="F39" s="135"/>
      <c r="G39" s="135"/>
      <c r="H39" s="135"/>
      <c r="I39" s="46" t="s">
        <v>0</v>
      </c>
      <c r="O39" s="185"/>
      <c r="P39" s="185"/>
    </row>
    <row r="40" spans="1:16" ht="16.5" customHeight="1">
      <c r="A40" s="135"/>
      <c r="B40" s="161"/>
      <c r="C40" s="161"/>
      <c r="D40" s="135"/>
      <c r="E40" s="135"/>
      <c r="F40" s="135"/>
      <c r="G40" s="135"/>
      <c r="H40" s="135"/>
      <c r="I40" s="46"/>
      <c r="O40" s="185"/>
      <c r="P40" s="185"/>
    </row>
    <row r="41" spans="1:16" ht="30.75" customHeight="1">
      <c r="A41" s="467" t="s">
        <v>437</v>
      </c>
      <c r="B41" s="467"/>
      <c r="C41" s="467"/>
      <c r="D41" s="467"/>
      <c r="E41" s="467"/>
      <c r="F41" s="467"/>
      <c r="G41" s="467"/>
      <c r="H41" s="467"/>
      <c r="I41" s="467"/>
      <c r="O41" s="185"/>
      <c r="P41" s="185"/>
    </row>
    <row r="42" spans="1:16" ht="14.25" customHeight="1">
      <c r="A42" s="135"/>
      <c r="B42" s="161"/>
      <c r="C42" s="161"/>
      <c r="D42" s="135"/>
      <c r="E42" s="135"/>
      <c r="F42" s="135"/>
      <c r="G42" s="135"/>
      <c r="H42" s="135"/>
      <c r="I42" s="135"/>
      <c r="O42" s="185"/>
      <c r="P42" s="185"/>
    </row>
    <row r="43" spans="1:16" ht="18" customHeight="1">
      <c r="A43" s="135"/>
      <c r="B43" s="484" t="s">
        <v>518</v>
      </c>
      <c r="C43" s="484"/>
      <c r="D43" s="484"/>
      <c r="E43" s="484"/>
      <c r="F43" s="484"/>
      <c r="G43" s="484"/>
      <c r="O43" s="185"/>
      <c r="P43" s="185"/>
    </row>
    <row r="44" spans="1:16" ht="19.5" customHeight="1">
      <c r="A44" s="135"/>
      <c r="B44" s="45" t="s">
        <v>67</v>
      </c>
      <c r="O44" s="185"/>
      <c r="P44" s="185"/>
    </row>
    <row r="45" spans="1:16" ht="27.75" customHeight="1">
      <c r="A45" s="135"/>
      <c r="B45" s="467" t="s">
        <v>378</v>
      </c>
      <c r="C45" s="467"/>
      <c r="D45" s="467"/>
      <c r="E45" s="467"/>
      <c r="F45" s="467"/>
      <c r="G45" s="467"/>
      <c r="H45" s="467"/>
      <c r="I45" s="467"/>
      <c r="O45" s="185"/>
      <c r="P45" s="185"/>
    </row>
    <row r="46" spans="1:16" ht="27" customHeight="1">
      <c r="A46" s="135"/>
      <c r="B46" s="467" t="s">
        <v>517</v>
      </c>
      <c r="C46" s="467"/>
      <c r="D46" s="467"/>
      <c r="E46" s="467"/>
      <c r="F46" s="467"/>
      <c r="G46" s="467"/>
      <c r="H46" s="467"/>
      <c r="I46" s="467"/>
      <c r="O46" s="185"/>
      <c r="P46" s="185"/>
    </row>
    <row r="47" spans="1:16" ht="15.75" customHeight="1">
      <c r="A47" s="135"/>
      <c r="B47" s="467" t="s">
        <v>516</v>
      </c>
      <c r="C47" s="467"/>
      <c r="D47" s="467"/>
      <c r="E47" s="467"/>
      <c r="F47" s="467"/>
      <c r="G47" s="467"/>
      <c r="H47" s="467"/>
      <c r="I47" s="467"/>
      <c r="O47" s="185"/>
      <c r="P47" s="185"/>
    </row>
    <row r="48" spans="1:16" ht="15.75" customHeight="1">
      <c r="A48" s="135"/>
      <c r="B48" s="161"/>
      <c r="C48" s="161"/>
      <c r="D48" s="135"/>
      <c r="E48" s="135"/>
      <c r="F48" s="135"/>
      <c r="G48" s="135"/>
      <c r="H48" s="135"/>
      <c r="I48" s="135"/>
      <c r="O48" s="185"/>
      <c r="P48" s="185"/>
    </row>
    <row r="49" spans="1:16" ht="18" customHeight="1">
      <c r="A49" s="467" t="s">
        <v>438</v>
      </c>
      <c r="B49" s="467"/>
      <c r="C49" s="467"/>
      <c r="D49" s="467"/>
      <c r="E49" s="467"/>
      <c r="F49" s="467"/>
      <c r="G49" s="467"/>
      <c r="H49" s="467"/>
      <c r="I49" s="467"/>
      <c r="O49" s="185"/>
      <c r="P49" s="185"/>
    </row>
    <row r="50" spans="1:16" ht="18" customHeight="1">
      <c r="A50" s="135"/>
      <c r="B50" s="161"/>
      <c r="C50" s="161"/>
      <c r="D50" s="135"/>
      <c r="E50" s="135"/>
      <c r="F50" s="135"/>
      <c r="G50" s="135"/>
      <c r="H50" s="135"/>
      <c r="I50" s="135"/>
      <c r="O50" s="185"/>
      <c r="P50" s="185"/>
    </row>
    <row r="51" spans="1:16" ht="18" customHeight="1">
      <c r="A51" s="135"/>
      <c r="B51" s="484" t="s">
        <v>515</v>
      </c>
      <c r="C51" s="484"/>
      <c r="D51" s="484"/>
      <c r="E51" s="484"/>
      <c r="F51" s="484"/>
      <c r="G51" s="484"/>
      <c r="O51" s="185"/>
      <c r="P51" s="185"/>
    </row>
    <row r="52" spans="1:16" ht="21" customHeight="1">
      <c r="A52" s="135"/>
      <c r="B52" s="45" t="s">
        <v>67</v>
      </c>
      <c r="L52" s="184"/>
      <c r="O52" s="185"/>
      <c r="P52" s="185"/>
    </row>
    <row r="53" spans="1:16" ht="26.25" customHeight="1">
      <c r="A53" s="135"/>
      <c r="B53" s="467" t="s">
        <v>439</v>
      </c>
      <c r="C53" s="467"/>
      <c r="D53" s="467"/>
      <c r="E53" s="467"/>
      <c r="F53" s="467"/>
      <c r="G53" s="467"/>
      <c r="H53" s="467"/>
      <c r="I53" s="467"/>
      <c r="O53" s="185"/>
      <c r="P53" s="185"/>
    </row>
    <row r="54" spans="1:16" ht="21.75" customHeight="1">
      <c r="A54" s="135"/>
      <c r="B54" s="468" t="s">
        <v>431</v>
      </c>
      <c r="C54" s="468"/>
      <c r="D54" s="468"/>
      <c r="E54" s="468"/>
      <c r="F54" s="468"/>
      <c r="G54" s="468"/>
      <c r="H54" s="468"/>
      <c r="I54" s="468"/>
      <c r="O54" s="185"/>
      <c r="P54" s="185"/>
    </row>
    <row r="55" spans="1:16" ht="26.25" customHeight="1">
      <c r="A55" s="135"/>
      <c r="B55" s="467" t="s">
        <v>514</v>
      </c>
      <c r="C55" s="467"/>
      <c r="D55" s="467"/>
      <c r="E55" s="467"/>
      <c r="F55" s="467"/>
      <c r="G55" s="467"/>
      <c r="H55" s="467"/>
      <c r="I55" s="467"/>
      <c r="O55" s="185"/>
      <c r="P55" s="185"/>
    </row>
    <row r="56" spans="1:16" ht="18" customHeight="1">
      <c r="A56" s="135"/>
      <c r="B56" s="161"/>
      <c r="C56" s="161"/>
      <c r="D56" s="135"/>
      <c r="E56" s="135"/>
      <c r="F56" s="135"/>
      <c r="G56" s="135"/>
      <c r="H56" s="135"/>
      <c r="I56" s="135"/>
      <c r="O56" s="185"/>
      <c r="P56" s="185"/>
    </row>
    <row r="57" spans="1:16" ht="25.5" customHeight="1">
      <c r="A57" s="467" t="s">
        <v>440</v>
      </c>
      <c r="B57" s="467"/>
      <c r="C57" s="467"/>
      <c r="D57" s="467"/>
      <c r="E57" s="467"/>
      <c r="F57" s="467"/>
      <c r="G57" s="467"/>
      <c r="H57" s="467"/>
      <c r="I57" s="467"/>
      <c r="O57" s="185"/>
      <c r="P57" s="185"/>
    </row>
    <row r="58" spans="1:16" ht="18" customHeight="1">
      <c r="A58" s="135"/>
      <c r="B58" s="161"/>
      <c r="C58" s="161"/>
      <c r="D58" s="135"/>
      <c r="E58" s="135"/>
      <c r="F58" s="135"/>
      <c r="G58" s="135"/>
      <c r="H58" s="135"/>
      <c r="I58" s="135"/>
      <c r="O58" s="185"/>
      <c r="P58" s="185"/>
    </row>
    <row r="59" spans="1:16" ht="18" customHeight="1">
      <c r="A59" s="135"/>
      <c r="B59" s="484" t="s">
        <v>513</v>
      </c>
      <c r="C59" s="484"/>
      <c r="D59" s="484"/>
      <c r="E59" s="484"/>
      <c r="F59" s="484"/>
      <c r="G59" s="484"/>
      <c r="O59" s="185"/>
      <c r="P59" s="185"/>
    </row>
    <row r="60" spans="1:16" ht="19.5" customHeight="1">
      <c r="A60" s="135"/>
      <c r="B60" s="45" t="s">
        <v>67</v>
      </c>
      <c r="O60" s="185"/>
      <c r="P60" s="185"/>
    </row>
    <row r="61" spans="1:16" ht="27" customHeight="1">
      <c r="A61" s="135"/>
      <c r="B61" s="467" t="s">
        <v>379</v>
      </c>
      <c r="C61" s="467"/>
      <c r="D61" s="467"/>
      <c r="E61" s="467"/>
      <c r="F61" s="467"/>
      <c r="G61" s="467"/>
      <c r="H61" s="467"/>
      <c r="I61" s="467"/>
      <c r="O61" s="185"/>
      <c r="P61" s="185"/>
    </row>
    <row r="62" spans="1:16" ht="25.5" customHeight="1">
      <c r="A62" s="135"/>
      <c r="B62" s="467" t="s">
        <v>512</v>
      </c>
      <c r="C62" s="467"/>
      <c r="D62" s="467"/>
      <c r="E62" s="467"/>
      <c r="F62" s="467"/>
      <c r="G62" s="467"/>
      <c r="H62" s="467"/>
      <c r="I62" s="467"/>
      <c r="O62" s="185"/>
      <c r="P62" s="185"/>
    </row>
    <row r="63" spans="1:16" ht="24.75" customHeight="1">
      <c r="A63" s="135"/>
      <c r="B63" s="467" t="s">
        <v>511</v>
      </c>
      <c r="C63" s="467"/>
      <c r="D63" s="467"/>
      <c r="E63" s="467"/>
      <c r="F63" s="467"/>
      <c r="G63" s="467"/>
      <c r="H63" s="467"/>
      <c r="I63" s="467"/>
      <c r="O63" s="185"/>
      <c r="P63" s="185"/>
    </row>
    <row r="64" spans="1:16" ht="18" customHeight="1">
      <c r="A64" s="135"/>
      <c r="B64" s="161"/>
      <c r="C64" s="161"/>
      <c r="D64" s="135"/>
      <c r="E64" s="135"/>
      <c r="F64" s="135"/>
      <c r="G64" s="135"/>
      <c r="H64" s="135"/>
      <c r="I64" s="135"/>
      <c r="O64" s="185"/>
      <c r="P64" s="185"/>
    </row>
    <row r="65" spans="1:12" ht="25.5" customHeight="1">
      <c r="A65" s="463" t="s">
        <v>441</v>
      </c>
      <c r="B65" s="463"/>
      <c r="C65" s="463"/>
      <c r="D65" s="463"/>
      <c r="E65" s="463"/>
      <c r="F65" s="463"/>
      <c r="G65" s="463"/>
      <c r="H65" s="463"/>
      <c r="I65" s="463"/>
    </row>
    <row r="66" spans="1:12" ht="9.75" customHeight="1"/>
    <row r="67" spans="1:12" ht="17.5">
      <c r="B67" s="484" t="s">
        <v>442</v>
      </c>
      <c r="C67" s="484"/>
      <c r="D67" s="484"/>
      <c r="E67" s="484"/>
      <c r="F67" s="484"/>
      <c r="G67" s="484"/>
    </row>
    <row r="68" spans="1:12" ht="22.5" customHeight="1">
      <c r="B68" s="45" t="s">
        <v>67</v>
      </c>
    </row>
    <row r="69" spans="1:12" ht="25.5" customHeight="1">
      <c r="B69" s="467" t="s">
        <v>443</v>
      </c>
      <c r="C69" s="467"/>
      <c r="D69" s="467"/>
      <c r="E69" s="467"/>
      <c r="F69" s="467"/>
      <c r="G69" s="467"/>
      <c r="H69" s="467"/>
      <c r="I69" s="467"/>
    </row>
    <row r="70" spans="1:12" ht="15">
      <c r="B70" s="468" t="s">
        <v>431</v>
      </c>
      <c r="C70" s="468"/>
      <c r="D70" s="468"/>
      <c r="E70" s="468"/>
      <c r="F70" s="468"/>
      <c r="G70" s="468"/>
      <c r="H70" s="468"/>
      <c r="I70" s="468"/>
      <c r="L70" s="184"/>
    </row>
    <row r="71" spans="1:12" ht="27.75" customHeight="1">
      <c r="B71" s="467" t="s">
        <v>444</v>
      </c>
      <c r="C71" s="467"/>
      <c r="D71" s="467"/>
      <c r="E71" s="467"/>
      <c r="F71" s="467"/>
      <c r="G71" s="467"/>
      <c r="H71" s="467"/>
      <c r="I71" s="467"/>
      <c r="L71" s="187"/>
    </row>
    <row r="72" spans="1:12" ht="27.75" customHeight="1">
      <c r="B72" s="341"/>
      <c r="C72" s="341"/>
      <c r="D72" s="341"/>
      <c r="E72" s="341"/>
      <c r="F72" s="341"/>
      <c r="G72" s="341"/>
      <c r="H72" s="341"/>
      <c r="I72" s="341"/>
      <c r="L72" s="187"/>
    </row>
    <row r="73" spans="1:12" ht="15" customHeight="1"/>
    <row r="74" spans="1:12" ht="15" customHeight="1">
      <c r="I74" s="46" t="s">
        <v>65</v>
      </c>
    </row>
    <row r="75" spans="1:12" ht="15" customHeight="1">
      <c r="I75" s="46" t="s">
        <v>68</v>
      </c>
    </row>
    <row r="76" spans="1:12" ht="15" customHeight="1"/>
    <row r="77" spans="1:12" ht="27.75" customHeight="1">
      <c r="A77" s="467" t="s">
        <v>445</v>
      </c>
      <c r="B77" s="467"/>
      <c r="C77" s="467"/>
      <c r="D77" s="467"/>
      <c r="E77" s="467"/>
      <c r="F77" s="467"/>
      <c r="G77" s="467"/>
      <c r="H77" s="467"/>
      <c r="I77" s="467"/>
    </row>
    <row r="78" spans="1:12" ht="9.75" customHeight="1"/>
    <row r="79" spans="1:12" ht="17.25" customHeight="1">
      <c r="B79" s="484" t="s">
        <v>446</v>
      </c>
      <c r="C79" s="484"/>
      <c r="D79" s="484"/>
      <c r="E79" s="484"/>
      <c r="F79" s="484"/>
      <c r="G79" s="484"/>
    </row>
    <row r="80" spans="1:12" ht="13.5" customHeight="1">
      <c r="B80" s="45" t="s">
        <v>67</v>
      </c>
    </row>
    <row r="81" spans="1:15" ht="25.5" customHeight="1">
      <c r="B81" s="467" t="s">
        <v>380</v>
      </c>
      <c r="C81" s="467"/>
      <c r="D81" s="467"/>
      <c r="E81" s="467"/>
      <c r="F81" s="467"/>
      <c r="G81" s="467"/>
      <c r="H81" s="467"/>
      <c r="I81" s="467"/>
      <c r="L81" s="187"/>
    </row>
    <row r="82" spans="1:15" ht="24.75" customHeight="1">
      <c r="B82" s="467" t="s">
        <v>447</v>
      </c>
      <c r="C82" s="467"/>
      <c r="D82" s="467"/>
      <c r="E82" s="467"/>
      <c r="F82" s="467"/>
      <c r="G82" s="467"/>
      <c r="H82" s="467"/>
      <c r="I82" s="467"/>
      <c r="L82" s="184"/>
      <c r="O82" s="189"/>
    </row>
    <row r="83" spans="1:15" ht="27" customHeight="1">
      <c r="B83" s="467" t="s">
        <v>448</v>
      </c>
      <c r="C83" s="467"/>
      <c r="D83" s="467"/>
      <c r="E83" s="467"/>
      <c r="F83" s="467"/>
      <c r="G83" s="467"/>
      <c r="H83" s="467"/>
      <c r="I83" s="467"/>
      <c r="L83" s="190"/>
      <c r="O83" s="189"/>
    </row>
    <row r="84" spans="1:15" ht="6.75" customHeight="1"/>
    <row r="85" spans="1:15" ht="26.25" customHeight="1">
      <c r="A85" s="467" t="s">
        <v>449</v>
      </c>
      <c r="B85" s="467"/>
      <c r="C85" s="467"/>
      <c r="D85" s="467"/>
      <c r="E85" s="467"/>
      <c r="F85" s="467"/>
      <c r="G85" s="467"/>
      <c r="H85" s="467"/>
      <c r="I85" s="467"/>
    </row>
    <row r="86" spans="1:15" ht="9" customHeight="1"/>
    <row r="87" spans="1:15" ht="16.5" customHeight="1">
      <c r="B87" s="484" t="s">
        <v>450</v>
      </c>
      <c r="C87" s="484"/>
      <c r="D87" s="484"/>
      <c r="E87" s="484"/>
      <c r="F87" s="484"/>
      <c r="G87" s="484"/>
    </row>
    <row r="88" spans="1:15">
      <c r="B88" s="45" t="s">
        <v>67</v>
      </c>
    </row>
    <row r="89" spans="1:15" ht="27" customHeight="1">
      <c r="B89" s="467" t="s">
        <v>451</v>
      </c>
      <c r="C89" s="467"/>
      <c r="D89" s="467"/>
      <c r="E89" s="467"/>
      <c r="F89" s="467"/>
      <c r="G89" s="467"/>
      <c r="H89" s="467"/>
      <c r="I89" s="467"/>
      <c r="L89" s="187"/>
    </row>
    <row r="90" spans="1:15" ht="15">
      <c r="B90" s="468" t="s">
        <v>431</v>
      </c>
      <c r="C90" s="468"/>
      <c r="D90" s="468"/>
      <c r="E90" s="468"/>
      <c r="F90" s="468"/>
      <c r="G90" s="468"/>
      <c r="H90" s="468"/>
      <c r="I90" s="468"/>
    </row>
    <row r="91" spans="1:15" ht="26.25" customHeight="1">
      <c r="B91" s="467" t="s">
        <v>452</v>
      </c>
      <c r="C91" s="467"/>
      <c r="D91" s="467"/>
      <c r="E91" s="467"/>
      <c r="F91" s="467"/>
      <c r="G91" s="467"/>
      <c r="H91" s="467"/>
      <c r="I91" s="467"/>
    </row>
    <row r="92" spans="1:15" ht="9" customHeight="1"/>
    <row r="93" spans="1:15" ht="27.75" customHeight="1">
      <c r="A93" s="467" t="s">
        <v>453</v>
      </c>
      <c r="B93" s="467"/>
      <c r="C93" s="467"/>
      <c r="D93" s="467"/>
      <c r="E93" s="467"/>
      <c r="F93" s="467"/>
      <c r="G93" s="467"/>
      <c r="H93" s="467"/>
      <c r="I93" s="467"/>
    </row>
    <row r="94" spans="1:15" ht="14.25" customHeight="1">
      <c r="I94" s="46"/>
    </row>
    <row r="95" spans="1:15" ht="17.5">
      <c r="B95" s="52" t="s">
        <v>454</v>
      </c>
      <c r="C95" s="52"/>
      <c r="D95" s="52"/>
      <c r="E95" s="52"/>
    </row>
    <row r="96" spans="1:15">
      <c r="B96" s="45" t="s">
        <v>67</v>
      </c>
      <c r="M96" s="184"/>
    </row>
    <row r="97" spans="1:13" ht="40.5" customHeight="1">
      <c r="B97" s="467" t="s">
        <v>381</v>
      </c>
      <c r="C97" s="467"/>
      <c r="D97" s="467"/>
      <c r="E97" s="467"/>
      <c r="F97" s="467"/>
      <c r="G97" s="467"/>
      <c r="H97" s="467"/>
      <c r="I97" s="467"/>
      <c r="L97" s="186"/>
      <c r="M97" s="184"/>
    </row>
    <row r="98" spans="1:13" ht="30" customHeight="1">
      <c r="B98" s="467" t="s">
        <v>455</v>
      </c>
      <c r="C98" s="467"/>
      <c r="D98" s="467"/>
      <c r="E98" s="467"/>
      <c r="F98" s="467"/>
      <c r="G98" s="467"/>
      <c r="H98" s="467"/>
      <c r="I98" s="467"/>
    </row>
    <row r="99" spans="1:13" ht="28.5" customHeight="1">
      <c r="B99" s="467" t="s">
        <v>456</v>
      </c>
      <c r="C99" s="467"/>
      <c r="D99" s="467"/>
      <c r="E99" s="467"/>
      <c r="F99" s="467"/>
      <c r="G99" s="467"/>
      <c r="H99" s="467"/>
      <c r="I99" s="467"/>
    </row>
    <row r="101" spans="1:13" ht="36" customHeight="1">
      <c r="A101" s="485" t="s">
        <v>457</v>
      </c>
      <c r="B101" s="485"/>
      <c r="C101" s="485"/>
      <c r="D101" s="485"/>
      <c r="E101" s="485"/>
      <c r="F101" s="485"/>
      <c r="G101" s="485"/>
      <c r="H101" s="485"/>
      <c r="I101" s="485"/>
    </row>
    <row r="102" spans="1:13" ht="15.5">
      <c r="B102" s="47"/>
      <c r="C102" s="47"/>
      <c r="D102" s="47"/>
      <c r="E102" s="47"/>
      <c r="F102" s="47"/>
      <c r="G102" s="47"/>
      <c r="H102" s="47"/>
      <c r="I102" s="47"/>
    </row>
    <row r="103" spans="1:13" ht="15.75" customHeight="1">
      <c r="B103" s="47" t="s">
        <v>216</v>
      </c>
      <c r="C103" s="47"/>
      <c r="D103" s="47"/>
      <c r="E103" s="47"/>
      <c r="F103" s="47"/>
      <c r="G103" s="47"/>
      <c r="H103" s="47"/>
      <c r="I103" s="47"/>
    </row>
    <row r="104" spans="1:13" ht="6" customHeight="1">
      <c r="B104" s="52"/>
      <c r="C104" s="47"/>
      <c r="D104" s="47"/>
      <c r="E104" s="47"/>
      <c r="F104" s="47"/>
      <c r="G104" s="47"/>
      <c r="H104" s="47"/>
      <c r="I104" s="47"/>
    </row>
    <row r="105" spans="1:13" ht="15.75" customHeight="1">
      <c r="B105" s="52" t="s">
        <v>458</v>
      </c>
      <c r="C105" s="101"/>
      <c r="D105" s="101"/>
      <c r="E105" s="101"/>
      <c r="F105" s="47"/>
      <c r="G105" s="47"/>
      <c r="H105" s="47"/>
      <c r="I105" s="47"/>
    </row>
    <row r="106" spans="1:13" ht="15.75" customHeight="1">
      <c r="B106" s="52" t="s">
        <v>459</v>
      </c>
      <c r="C106" s="101"/>
      <c r="D106" s="101"/>
      <c r="E106" s="101"/>
      <c r="F106" s="47"/>
      <c r="G106" s="47"/>
      <c r="H106" s="47"/>
      <c r="I106" s="47"/>
    </row>
    <row r="107" spans="1:13" ht="15.75" customHeight="1">
      <c r="B107" s="52" t="s">
        <v>460</v>
      </c>
      <c r="C107" s="101"/>
      <c r="D107" s="101"/>
      <c r="E107" s="101"/>
      <c r="F107" s="47"/>
      <c r="G107" s="47"/>
      <c r="H107" s="47"/>
      <c r="I107" s="47"/>
    </row>
    <row r="108" spans="1:13" ht="15.75" customHeight="1">
      <c r="B108" s="101" t="s">
        <v>461</v>
      </c>
      <c r="C108" s="230"/>
      <c r="D108" s="230"/>
      <c r="E108" s="47"/>
      <c r="F108" s="47"/>
      <c r="G108" s="47"/>
      <c r="H108" s="47"/>
      <c r="I108" s="47"/>
    </row>
    <row r="109" spans="1:13" ht="12.75" customHeight="1">
      <c r="B109" s="483"/>
      <c r="C109" s="483"/>
      <c r="D109" s="483"/>
      <c r="E109" s="483"/>
      <c r="F109" s="483"/>
      <c r="G109" s="483"/>
      <c r="H109" s="483"/>
      <c r="I109" s="483"/>
    </row>
    <row r="110" spans="1:13" ht="28.5" customHeight="1">
      <c r="B110" s="483" t="s">
        <v>462</v>
      </c>
      <c r="C110" s="483"/>
      <c r="D110" s="483"/>
      <c r="E110" s="483"/>
      <c r="F110" s="483"/>
      <c r="G110" s="483"/>
      <c r="H110" s="483"/>
      <c r="I110" s="483"/>
    </row>
    <row r="111" spans="1:13" ht="15.5">
      <c r="B111" s="101"/>
      <c r="C111" s="101"/>
      <c r="D111" s="101"/>
      <c r="E111" s="101"/>
      <c r="F111" s="101"/>
      <c r="G111" s="101"/>
      <c r="H111" s="47"/>
      <c r="I111" s="47"/>
    </row>
    <row r="112" spans="1:13" ht="15.5">
      <c r="B112" s="52"/>
      <c r="C112" s="52" t="s">
        <v>463</v>
      </c>
      <c r="D112" s="52"/>
      <c r="E112" s="52"/>
      <c r="F112" s="52"/>
      <c r="G112" s="52"/>
      <c r="H112" s="52"/>
      <c r="I112" s="52"/>
    </row>
    <row r="113" spans="1:9" ht="15.5">
      <c r="A113" s="52"/>
      <c r="B113" s="52"/>
      <c r="C113" s="52"/>
      <c r="D113" s="52"/>
      <c r="E113" s="52"/>
      <c r="F113" s="52"/>
      <c r="G113" s="52"/>
      <c r="H113" s="52"/>
      <c r="I113" s="52"/>
    </row>
  </sheetData>
  <mergeCells count="59">
    <mergeCell ref="A3:I3"/>
    <mergeCell ref="A4:I4"/>
    <mergeCell ref="B9:I9"/>
    <mergeCell ref="B10:I10"/>
    <mergeCell ref="B11:I11"/>
    <mergeCell ref="B12:I12"/>
    <mergeCell ref="B13:I13"/>
    <mergeCell ref="A15:I15"/>
    <mergeCell ref="B17:G17"/>
    <mergeCell ref="B19:I19"/>
    <mergeCell ref="B20:I20"/>
    <mergeCell ref="B21:I21"/>
    <mergeCell ref="B45:I45"/>
    <mergeCell ref="B46:I46"/>
    <mergeCell ref="B47:I47"/>
    <mergeCell ref="A23:I23"/>
    <mergeCell ref="B25:G25"/>
    <mergeCell ref="B27:I27"/>
    <mergeCell ref="B28:I28"/>
    <mergeCell ref="B29:I29"/>
    <mergeCell ref="A49:I49"/>
    <mergeCell ref="B51:G51"/>
    <mergeCell ref="A31:I31"/>
    <mergeCell ref="B33:G33"/>
    <mergeCell ref="B35:I35"/>
    <mergeCell ref="B36:I36"/>
    <mergeCell ref="B37:I37"/>
    <mergeCell ref="A41:I41"/>
    <mergeCell ref="B43:G43"/>
    <mergeCell ref="B53:I53"/>
    <mergeCell ref="B54:I54"/>
    <mergeCell ref="B55:I55"/>
    <mergeCell ref="A57:I57"/>
    <mergeCell ref="B59:G59"/>
    <mergeCell ref="B61:I61"/>
    <mergeCell ref="B62:I62"/>
    <mergeCell ref="B87:G87"/>
    <mergeCell ref="B89:I89"/>
    <mergeCell ref="B90:I90"/>
    <mergeCell ref="B63:I63"/>
    <mergeCell ref="A65:I65"/>
    <mergeCell ref="B67:G67"/>
    <mergeCell ref="B69:I69"/>
    <mergeCell ref="B70:I70"/>
    <mergeCell ref="B110:I110"/>
    <mergeCell ref="B91:I91"/>
    <mergeCell ref="A93:I93"/>
    <mergeCell ref="B71:I71"/>
    <mergeCell ref="A77:I77"/>
    <mergeCell ref="B79:G79"/>
    <mergeCell ref="B81:I81"/>
    <mergeCell ref="B82:I82"/>
    <mergeCell ref="B83:I83"/>
    <mergeCell ref="A85:I85"/>
    <mergeCell ref="B97:I97"/>
    <mergeCell ref="B98:I98"/>
    <mergeCell ref="B99:I99"/>
    <mergeCell ref="A101:I101"/>
    <mergeCell ref="B109:I10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Normal="100" workbookViewId="0">
      <selection activeCell="E10" sqref="E10"/>
    </sheetView>
  </sheetViews>
  <sheetFormatPr defaultRowHeight="13"/>
  <cols>
    <col min="1" max="1" width="17.6328125" style="58" customWidth="1"/>
    <col min="2" max="2" width="7.08984375" style="58" customWidth="1"/>
    <col min="3" max="3" width="12.36328125" style="58" customWidth="1"/>
    <col min="4" max="6" width="12.08984375" style="58" customWidth="1"/>
    <col min="7" max="7" width="10.90625" style="58" customWidth="1"/>
    <col min="8" max="8" width="11" style="58" customWidth="1"/>
    <col min="9" max="250" width="9.08984375" style="58"/>
    <col min="251" max="251" width="28.6328125" style="58" customWidth="1"/>
    <col min="252" max="252" width="6.36328125" style="58" customWidth="1"/>
    <col min="253" max="253" width="0" style="58" hidden="1" customWidth="1"/>
    <col min="254" max="254" width="9.36328125" style="58" customWidth="1"/>
    <col min="255" max="255" width="9.6328125" style="58" customWidth="1"/>
    <col min="256" max="256" width="9.90625" style="58" customWidth="1"/>
    <col min="257" max="258" width="9.6328125" style="58" customWidth="1"/>
    <col min="259" max="259" width="10" style="58" customWidth="1"/>
    <col min="260" max="506" width="9.08984375" style="58"/>
    <col min="507" max="507" width="28.6328125" style="58" customWidth="1"/>
    <col min="508" max="508" width="6.36328125" style="58" customWidth="1"/>
    <col min="509" max="509" width="0" style="58" hidden="1" customWidth="1"/>
    <col min="510" max="510" width="9.36328125" style="58" customWidth="1"/>
    <col min="511" max="511" width="9.6328125" style="58" customWidth="1"/>
    <col min="512" max="512" width="9.90625" style="58" customWidth="1"/>
    <col min="513" max="514" width="9.6328125" style="58" customWidth="1"/>
    <col min="515" max="515" width="10" style="58" customWidth="1"/>
    <col min="516" max="762" width="9.08984375" style="58"/>
    <col min="763" max="763" width="28.6328125" style="58" customWidth="1"/>
    <col min="764" max="764" width="6.36328125" style="58" customWidth="1"/>
    <col min="765" max="765" width="0" style="58" hidden="1" customWidth="1"/>
    <col min="766" max="766" width="9.36328125" style="58" customWidth="1"/>
    <col min="767" max="767" width="9.6328125" style="58" customWidth="1"/>
    <col min="768" max="768" width="9.90625" style="58" customWidth="1"/>
    <col min="769" max="770" width="9.6328125" style="58" customWidth="1"/>
    <col min="771" max="771" width="10" style="58" customWidth="1"/>
    <col min="772" max="1018" width="9.08984375" style="58"/>
    <col min="1019" max="1019" width="28.6328125" style="58" customWidth="1"/>
    <col min="1020" max="1020" width="6.36328125" style="58" customWidth="1"/>
    <col min="1021" max="1021" width="0" style="58" hidden="1" customWidth="1"/>
    <col min="1022" max="1022" width="9.36328125" style="58" customWidth="1"/>
    <col min="1023" max="1023" width="9.6328125" style="58" customWidth="1"/>
    <col min="1024" max="1024" width="9.90625" style="58" customWidth="1"/>
    <col min="1025" max="1026" width="9.6328125" style="58" customWidth="1"/>
    <col min="1027" max="1027" width="10" style="58" customWidth="1"/>
    <col min="1028" max="1274" width="9.08984375" style="58"/>
    <col min="1275" max="1275" width="28.6328125" style="58" customWidth="1"/>
    <col min="1276" max="1276" width="6.36328125" style="58" customWidth="1"/>
    <col min="1277" max="1277" width="0" style="58" hidden="1" customWidth="1"/>
    <col min="1278" max="1278" width="9.36328125" style="58" customWidth="1"/>
    <col min="1279" max="1279" width="9.6328125" style="58" customWidth="1"/>
    <col min="1280" max="1280" width="9.90625" style="58" customWidth="1"/>
    <col min="1281" max="1282" width="9.6328125" style="58" customWidth="1"/>
    <col min="1283" max="1283" width="10" style="58" customWidth="1"/>
    <col min="1284" max="1530" width="9.08984375" style="58"/>
    <col min="1531" max="1531" width="28.6328125" style="58" customWidth="1"/>
    <col min="1532" max="1532" width="6.36328125" style="58" customWidth="1"/>
    <col min="1533" max="1533" width="0" style="58" hidden="1" customWidth="1"/>
    <col min="1534" max="1534" width="9.36328125" style="58" customWidth="1"/>
    <col min="1535" max="1535" width="9.6328125" style="58" customWidth="1"/>
    <col min="1536" max="1536" width="9.90625" style="58" customWidth="1"/>
    <col min="1537" max="1538" width="9.6328125" style="58" customWidth="1"/>
    <col min="1539" max="1539" width="10" style="58" customWidth="1"/>
    <col min="1540" max="1786" width="9.08984375" style="58"/>
    <col min="1787" max="1787" width="28.6328125" style="58" customWidth="1"/>
    <col min="1788" max="1788" width="6.36328125" style="58" customWidth="1"/>
    <col min="1789" max="1789" width="0" style="58" hidden="1" customWidth="1"/>
    <col min="1790" max="1790" width="9.36328125" style="58" customWidth="1"/>
    <col min="1791" max="1791" width="9.6328125" style="58" customWidth="1"/>
    <col min="1792" max="1792" width="9.90625" style="58" customWidth="1"/>
    <col min="1793" max="1794" width="9.6328125" style="58" customWidth="1"/>
    <col min="1795" max="1795" width="10" style="58" customWidth="1"/>
    <col min="1796" max="2042" width="9.08984375" style="58"/>
    <col min="2043" max="2043" width="28.6328125" style="58" customWidth="1"/>
    <col min="2044" max="2044" width="6.36328125" style="58" customWidth="1"/>
    <col min="2045" max="2045" width="0" style="58" hidden="1" customWidth="1"/>
    <col min="2046" max="2046" width="9.36328125" style="58" customWidth="1"/>
    <col min="2047" max="2047" width="9.6328125" style="58" customWidth="1"/>
    <col min="2048" max="2048" width="9.90625" style="58" customWidth="1"/>
    <col min="2049" max="2050" width="9.6328125" style="58" customWidth="1"/>
    <col min="2051" max="2051" width="10" style="58" customWidth="1"/>
    <col min="2052" max="2298" width="9.08984375" style="58"/>
    <col min="2299" max="2299" width="28.6328125" style="58" customWidth="1"/>
    <col min="2300" max="2300" width="6.36328125" style="58" customWidth="1"/>
    <col min="2301" max="2301" width="0" style="58" hidden="1" customWidth="1"/>
    <col min="2302" max="2302" width="9.36328125" style="58" customWidth="1"/>
    <col min="2303" max="2303" width="9.6328125" style="58" customWidth="1"/>
    <col min="2304" max="2304" width="9.90625" style="58" customWidth="1"/>
    <col min="2305" max="2306" width="9.6328125" style="58" customWidth="1"/>
    <col min="2307" max="2307" width="10" style="58" customWidth="1"/>
    <col min="2308" max="2554" width="9.08984375" style="58"/>
    <col min="2555" max="2555" width="28.6328125" style="58" customWidth="1"/>
    <col min="2556" max="2556" width="6.36328125" style="58" customWidth="1"/>
    <col min="2557" max="2557" width="0" style="58" hidden="1" customWidth="1"/>
    <col min="2558" max="2558" width="9.36328125" style="58" customWidth="1"/>
    <col min="2559" max="2559" width="9.6328125" style="58" customWidth="1"/>
    <col min="2560" max="2560" width="9.90625" style="58" customWidth="1"/>
    <col min="2561" max="2562" width="9.6328125" style="58" customWidth="1"/>
    <col min="2563" max="2563" width="10" style="58" customWidth="1"/>
    <col min="2564" max="2810" width="9.08984375" style="58"/>
    <col min="2811" max="2811" width="28.6328125" style="58" customWidth="1"/>
    <col min="2812" max="2812" width="6.36328125" style="58" customWidth="1"/>
    <col min="2813" max="2813" width="0" style="58" hidden="1" customWidth="1"/>
    <col min="2814" max="2814" width="9.36328125" style="58" customWidth="1"/>
    <col min="2815" max="2815" width="9.6328125" style="58" customWidth="1"/>
    <col min="2816" max="2816" width="9.90625" style="58" customWidth="1"/>
    <col min="2817" max="2818" width="9.6328125" style="58" customWidth="1"/>
    <col min="2819" max="2819" width="10" style="58" customWidth="1"/>
    <col min="2820" max="3066" width="9.08984375" style="58"/>
    <col min="3067" max="3067" width="28.6328125" style="58" customWidth="1"/>
    <col min="3068" max="3068" width="6.36328125" style="58" customWidth="1"/>
    <col min="3069" max="3069" width="0" style="58" hidden="1" customWidth="1"/>
    <col min="3070" max="3070" width="9.36328125" style="58" customWidth="1"/>
    <col min="3071" max="3071" width="9.6328125" style="58" customWidth="1"/>
    <col min="3072" max="3072" width="9.90625" style="58" customWidth="1"/>
    <col min="3073" max="3074" width="9.6328125" style="58" customWidth="1"/>
    <col min="3075" max="3075" width="10" style="58" customWidth="1"/>
    <col min="3076" max="3322" width="9.08984375" style="58"/>
    <col min="3323" max="3323" width="28.6328125" style="58" customWidth="1"/>
    <col min="3324" max="3324" width="6.36328125" style="58" customWidth="1"/>
    <col min="3325" max="3325" width="0" style="58" hidden="1" customWidth="1"/>
    <col min="3326" max="3326" width="9.36328125" style="58" customWidth="1"/>
    <col min="3327" max="3327" width="9.6328125" style="58" customWidth="1"/>
    <col min="3328" max="3328" width="9.90625" style="58" customWidth="1"/>
    <col min="3329" max="3330" width="9.6328125" style="58" customWidth="1"/>
    <col min="3331" max="3331" width="10" style="58" customWidth="1"/>
    <col min="3332" max="3578" width="9.08984375" style="58"/>
    <col min="3579" max="3579" width="28.6328125" style="58" customWidth="1"/>
    <col min="3580" max="3580" width="6.36328125" style="58" customWidth="1"/>
    <col min="3581" max="3581" width="0" style="58" hidden="1" customWidth="1"/>
    <col min="3582" max="3582" width="9.36328125" style="58" customWidth="1"/>
    <col min="3583" max="3583" width="9.6328125" style="58" customWidth="1"/>
    <col min="3584" max="3584" width="9.90625" style="58" customWidth="1"/>
    <col min="3585" max="3586" width="9.6328125" style="58" customWidth="1"/>
    <col min="3587" max="3587" width="10" style="58" customWidth="1"/>
    <col min="3588" max="3834" width="9.08984375" style="58"/>
    <col min="3835" max="3835" width="28.6328125" style="58" customWidth="1"/>
    <col min="3836" max="3836" width="6.36328125" style="58" customWidth="1"/>
    <col min="3837" max="3837" width="0" style="58" hidden="1" customWidth="1"/>
    <col min="3838" max="3838" width="9.36328125" style="58" customWidth="1"/>
    <col min="3839" max="3839" width="9.6328125" style="58" customWidth="1"/>
    <col min="3840" max="3840" width="9.90625" style="58" customWidth="1"/>
    <col min="3841" max="3842" width="9.6328125" style="58" customWidth="1"/>
    <col min="3843" max="3843" width="10" style="58" customWidth="1"/>
    <col min="3844" max="4090" width="9.08984375" style="58"/>
    <col min="4091" max="4091" width="28.6328125" style="58" customWidth="1"/>
    <col min="4092" max="4092" width="6.36328125" style="58" customWidth="1"/>
    <col min="4093" max="4093" width="0" style="58" hidden="1" customWidth="1"/>
    <col min="4094" max="4094" width="9.36328125" style="58" customWidth="1"/>
    <col min="4095" max="4095" width="9.6328125" style="58" customWidth="1"/>
    <col min="4096" max="4096" width="9.90625" style="58" customWidth="1"/>
    <col min="4097" max="4098" width="9.6328125" style="58" customWidth="1"/>
    <col min="4099" max="4099" width="10" style="58" customWidth="1"/>
    <col min="4100" max="4346" width="9.08984375" style="58"/>
    <col min="4347" max="4347" width="28.6328125" style="58" customWidth="1"/>
    <col min="4348" max="4348" width="6.36328125" style="58" customWidth="1"/>
    <col min="4349" max="4349" width="0" style="58" hidden="1" customWidth="1"/>
    <col min="4350" max="4350" width="9.36328125" style="58" customWidth="1"/>
    <col min="4351" max="4351" width="9.6328125" style="58" customWidth="1"/>
    <col min="4352" max="4352" width="9.90625" style="58" customWidth="1"/>
    <col min="4353" max="4354" width="9.6328125" style="58" customWidth="1"/>
    <col min="4355" max="4355" width="10" style="58" customWidth="1"/>
    <col min="4356" max="4602" width="9.08984375" style="58"/>
    <col min="4603" max="4603" width="28.6328125" style="58" customWidth="1"/>
    <col min="4604" max="4604" width="6.36328125" style="58" customWidth="1"/>
    <col min="4605" max="4605" width="0" style="58" hidden="1" customWidth="1"/>
    <col min="4606" max="4606" width="9.36328125" style="58" customWidth="1"/>
    <col min="4607" max="4607" width="9.6328125" style="58" customWidth="1"/>
    <col min="4608" max="4608" width="9.90625" style="58" customWidth="1"/>
    <col min="4609" max="4610" width="9.6328125" style="58" customWidth="1"/>
    <col min="4611" max="4611" width="10" style="58" customWidth="1"/>
    <col min="4612" max="4858" width="9.08984375" style="58"/>
    <col min="4859" max="4859" width="28.6328125" style="58" customWidth="1"/>
    <col min="4860" max="4860" width="6.36328125" style="58" customWidth="1"/>
    <col min="4861" max="4861" width="0" style="58" hidden="1" customWidth="1"/>
    <col min="4862" max="4862" width="9.36328125" style="58" customWidth="1"/>
    <col min="4863" max="4863" width="9.6328125" style="58" customWidth="1"/>
    <col min="4864" max="4864" width="9.90625" style="58" customWidth="1"/>
    <col min="4865" max="4866" width="9.6328125" style="58" customWidth="1"/>
    <col min="4867" max="4867" width="10" style="58" customWidth="1"/>
    <col min="4868" max="5114" width="9.08984375" style="58"/>
    <col min="5115" max="5115" width="28.6328125" style="58" customWidth="1"/>
    <col min="5116" max="5116" width="6.36328125" style="58" customWidth="1"/>
    <col min="5117" max="5117" width="0" style="58" hidden="1" customWidth="1"/>
    <col min="5118" max="5118" width="9.36328125" style="58" customWidth="1"/>
    <col min="5119" max="5119" width="9.6328125" style="58" customWidth="1"/>
    <col min="5120" max="5120" width="9.90625" style="58" customWidth="1"/>
    <col min="5121" max="5122" width="9.6328125" style="58" customWidth="1"/>
    <col min="5123" max="5123" width="10" style="58" customWidth="1"/>
    <col min="5124" max="5370" width="9.08984375" style="58"/>
    <col min="5371" max="5371" width="28.6328125" style="58" customWidth="1"/>
    <col min="5372" max="5372" width="6.36328125" style="58" customWidth="1"/>
    <col min="5373" max="5373" width="0" style="58" hidden="1" customWidth="1"/>
    <col min="5374" max="5374" width="9.36328125" style="58" customWidth="1"/>
    <col min="5375" max="5375" width="9.6328125" style="58" customWidth="1"/>
    <col min="5376" max="5376" width="9.90625" style="58" customWidth="1"/>
    <col min="5377" max="5378" width="9.6328125" style="58" customWidth="1"/>
    <col min="5379" max="5379" width="10" style="58" customWidth="1"/>
    <col min="5380" max="5626" width="9.08984375" style="58"/>
    <col min="5627" max="5627" width="28.6328125" style="58" customWidth="1"/>
    <col min="5628" max="5628" width="6.36328125" style="58" customWidth="1"/>
    <col min="5629" max="5629" width="0" style="58" hidden="1" customWidth="1"/>
    <col min="5630" max="5630" width="9.36328125" style="58" customWidth="1"/>
    <col min="5631" max="5631" width="9.6328125" style="58" customWidth="1"/>
    <col min="5632" max="5632" width="9.90625" style="58" customWidth="1"/>
    <col min="5633" max="5634" width="9.6328125" style="58" customWidth="1"/>
    <col min="5635" max="5635" width="10" style="58" customWidth="1"/>
    <col min="5636" max="5882" width="9.08984375" style="58"/>
    <col min="5883" max="5883" width="28.6328125" style="58" customWidth="1"/>
    <col min="5884" max="5884" width="6.36328125" style="58" customWidth="1"/>
    <col min="5885" max="5885" width="0" style="58" hidden="1" customWidth="1"/>
    <col min="5886" max="5886" width="9.36328125" style="58" customWidth="1"/>
    <col min="5887" max="5887" width="9.6328125" style="58" customWidth="1"/>
    <col min="5888" max="5888" width="9.90625" style="58" customWidth="1"/>
    <col min="5889" max="5890" width="9.6328125" style="58" customWidth="1"/>
    <col min="5891" max="5891" width="10" style="58" customWidth="1"/>
    <col min="5892" max="6138" width="9.08984375" style="58"/>
    <col min="6139" max="6139" width="28.6328125" style="58" customWidth="1"/>
    <col min="6140" max="6140" width="6.36328125" style="58" customWidth="1"/>
    <col min="6141" max="6141" width="0" style="58" hidden="1" customWidth="1"/>
    <col min="6142" max="6142" width="9.36328125" style="58" customWidth="1"/>
    <col min="6143" max="6143" width="9.6328125" style="58" customWidth="1"/>
    <col min="6144" max="6144" width="9.90625" style="58" customWidth="1"/>
    <col min="6145" max="6146" width="9.6328125" style="58" customWidth="1"/>
    <col min="6147" max="6147" width="10" style="58" customWidth="1"/>
    <col min="6148" max="6394" width="9.08984375" style="58"/>
    <col min="6395" max="6395" width="28.6328125" style="58" customWidth="1"/>
    <col min="6396" max="6396" width="6.36328125" style="58" customWidth="1"/>
    <col min="6397" max="6397" width="0" style="58" hidden="1" customWidth="1"/>
    <col min="6398" max="6398" width="9.36328125" style="58" customWidth="1"/>
    <col min="6399" max="6399" width="9.6328125" style="58" customWidth="1"/>
    <col min="6400" max="6400" width="9.90625" style="58" customWidth="1"/>
    <col min="6401" max="6402" width="9.6328125" style="58" customWidth="1"/>
    <col min="6403" max="6403" width="10" style="58" customWidth="1"/>
    <col min="6404" max="6650" width="9.08984375" style="58"/>
    <col min="6651" max="6651" width="28.6328125" style="58" customWidth="1"/>
    <col min="6652" max="6652" width="6.36328125" style="58" customWidth="1"/>
    <col min="6653" max="6653" width="0" style="58" hidden="1" customWidth="1"/>
    <col min="6654" max="6654" width="9.36328125" style="58" customWidth="1"/>
    <col min="6655" max="6655" width="9.6328125" style="58" customWidth="1"/>
    <col min="6656" max="6656" width="9.90625" style="58" customWidth="1"/>
    <col min="6657" max="6658" width="9.6328125" style="58" customWidth="1"/>
    <col min="6659" max="6659" width="10" style="58" customWidth="1"/>
    <col min="6660" max="6906" width="9.08984375" style="58"/>
    <col min="6907" max="6907" width="28.6328125" style="58" customWidth="1"/>
    <col min="6908" max="6908" width="6.36328125" style="58" customWidth="1"/>
    <col min="6909" max="6909" width="0" style="58" hidden="1" customWidth="1"/>
    <col min="6910" max="6910" width="9.36328125" style="58" customWidth="1"/>
    <col min="6911" max="6911" width="9.6328125" style="58" customWidth="1"/>
    <col min="6912" max="6912" width="9.90625" style="58" customWidth="1"/>
    <col min="6913" max="6914" width="9.6328125" style="58" customWidth="1"/>
    <col min="6915" max="6915" width="10" style="58" customWidth="1"/>
    <col min="6916" max="7162" width="9.08984375" style="58"/>
    <col min="7163" max="7163" width="28.6328125" style="58" customWidth="1"/>
    <col min="7164" max="7164" width="6.36328125" style="58" customWidth="1"/>
    <col min="7165" max="7165" width="0" style="58" hidden="1" customWidth="1"/>
    <col min="7166" max="7166" width="9.36328125" style="58" customWidth="1"/>
    <col min="7167" max="7167" width="9.6328125" style="58" customWidth="1"/>
    <col min="7168" max="7168" width="9.90625" style="58" customWidth="1"/>
    <col min="7169" max="7170" width="9.6328125" style="58" customWidth="1"/>
    <col min="7171" max="7171" width="10" style="58" customWidth="1"/>
    <col min="7172" max="7418" width="9.08984375" style="58"/>
    <col min="7419" max="7419" width="28.6328125" style="58" customWidth="1"/>
    <col min="7420" max="7420" width="6.36328125" style="58" customWidth="1"/>
    <col min="7421" max="7421" width="0" style="58" hidden="1" customWidth="1"/>
    <col min="7422" max="7422" width="9.36328125" style="58" customWidth="1"/>
    <col min="7423" max="7423" width="9.6328125" style="58" customWidth="1"/>
    <col min="7424" max="7424" width="9.90625" style="58" customWidth="1"/>
    <col min="7425" max="7426" width="9.6328125" style="58" customWidth="1"/>
    <col min="7427" max="7427" width="10" style="58" customWidth="1"/>
    <col min="7428" max="7674" width="9.08984375" style="58"/>
    <col min="7675" max="7675" width="28.6328125" style="58" customWidth="1"/>
    <col min="7676" max="7676" width="6.36328125" style="58" customWidth="1"/>
    <col min="7677" max="7677" width="0" style="58" hidden="1" customWidth="1"/>
    <col min="7678" max="7678" width="9.36328125" style="58" customWidth="1"/>
    <col min="7679" max="7679" width="9.6328125" style="58" customWidth="1"/>
    <col min="7680" max="7680" width="9.90625" style="58" customWidth="1"/>
    <col min="7681" max="7682" width="9.6328125" style="58" customWidth="1"/>
    <col min="7683" max="7683" width="10" style="58" customWidth="1"/>
    <col min="7684" max="7930" width="9.08984375" style="58"/>
    <col min="7931" max="7931" width="28.6328125" style="58" customWidth="1"/>
    <col min="7932" max="7932" width="6.36328125" style="58" customWidth="1"/>
    <col min="7933" max="7933" width="0" style="58" hidden="1" customWidth="1"/>
    <col min="7934" max="7934" width="9.36328125" style="58" customWidth="1"/>
    <col min="7935" max="7935" width="9.6328125" style="58" customWidth="1"/>
    <col min="7936" max="7936" width="9.90625" style="58" customWidth="1"/>
    <col min="7937" max="7938" width="9.6328125" style="58" customWidth="1"/>
    <col min="7939" max="7939" width="10" style="58" customWidth="1"/>
    <col min="7940" max="8186" width="9.08984375" style="58"/>
    <col min="8187" max="8187" width="28.6328125" style="58" customWidth="1"/>
    <col min="8188" max="8188" width="6.36328125" style="58" customWidth="1"/>
    <col min="8189" max="8189" width="0" style="58" hidden="1" customWidth="1"/>
    <col min="8190" max="8190" width="9.36328125" style="58" customWidth="1"/>
    <col min="8191" max="8191" width="9.6328125" style="58" customWidth="1"/>
    <col min="8192" max="8192" width="9.90625" style="58" customWidth="1"/>
    <col min="8193" max="8194" width="9.6328125" style="58" customWidth="1"/>
    <col min="8195" max="8195" width="10" style="58" customWidth="1"/>
    <col min="8196" max="8442" width="9.08984375" style="58"/>
    <col min="8443" max="8443" width="28.6328125" style="58" customWidth="1"/>
    <col min="8444" max="8444" width="6.36328125" style="58" customWidth="1"/>
    <col min="8445" max="8445" width="0" style="58" hidden="1" customWidth="1"/>
    <col min="8446" max="8446" width="9.36328125" style="58" customWidth="1"/>
    <col min="8447" max="8447" width="9.6328125" style="58" customWidth="1"/>
    <col min="8448" max="8448" width="9.90625" style="58" customWidth="1"/>
    <col min="8449" max="8450" width="9.6328125" style="58" customWidth="1"/>
    <col min="8451" max="8451" width="10" style="58" customWidth="1"/>
    <col min="8452" max="8698" width="9.08984375" style="58"/>
    <col min="8699" max="8699" width="28.6328125" style="58" customWidth="1"/>
    <col min="8700" max="8700" width="6.36328125" style="58" customWidth="1"/>
    <col min="8701" max="8701" width="0" style="58" hidden="1" customWidth="1"/>
    <col min="8702" max="8702" width="9.36328125" style="58" customWidth="1"/>
    <col min="8703" max="8703" width="9.6328125" style="58" customWidth="1"/>
    <col min="8704" max="8704" width="9.90625" style="58" customWidth="1"/>
    <col min="8705" max="8706" width="9.6328125" style="58" customWidth="1"/>
    <col min="8707" max="8707" width="10" style="58" customWidth="1"/>
    <col min="8708" max="8954" width="9.08984375" style="58"/>
    <col min="8955" max="8955" width="28.6328125" style="58" customWidth="1"/>
    <col min="8956" max="8956" width="6.36328125" style="58" customWidth="1"/>
    <col min="8957" max="8957" width="0" style="58" hidden="1" customWidth="1"/>
    <col min="8958" max="8958" width="9.36328125" style="58" customWidth="1"/>
    <col min="8959" max="8959" width="9.6328125" style="58" customWidth="1"/>
    <col min="8960" max="8960" width="9.90625" style="58" customWidth="1"/>
    <col min="8961" max="8962" width="9.6328125" style="58" customWidth="1"/>
    <col min="8963" max="8963" width="10" style="58" customWidth="1"/>
    <col min="8964" max="9210" width="9.08984375" style="58"/>
    <col min="9211" max="9211" width="28.6328125" style="58" customWidth="1"/>
    <col min="9212" max="9212" width="6.36328125" style="58" customWidth="1"/>
    <col min="9213" max="9213" width="0" style="58" hidden="1" customWidth="1"/>
    <col min="9214" max="9214" width="9.36328125" style="58" customWidth="1"/>
    <col min="9215" max="9215" width="9.6328125" style="58" customWidth="1"/>
    <col min="9216" max="9216" width="9.90625" style="58" customWidth="1"/>
    <col min="9217" max="9218" width="9.6328125" style="58" customWidth="1"/>
    <col min="9219" max="9219" width="10" style="58" customWidth="1"/>
    <col min="9220" max="9466" width="9.08984375" style="58"/>
    <col min="9467" max="9467" width="28.6328125" style="58" customWidth="1"/>
    <col min="9468" max="9468" width="6.36328125" style="58" customWidth="1"/>
    <col min="9469" max="9469" width="0" style="58" hidden="1" customWidth="1"/>
    <col min="9470" max="9470" width="9.36328125" style="58" customWidth="1"/>
    <col min="9471" max="9471" width="9.6328125" style="58" customWidth="1"/>
    <col min="9472" max="9472" width="9.90625" style="58" customWidth="1"/>
    <col min="9473" max="9474" width="9.6328125" style="58" customWidth="1"/>
    <col min="9475" max="9475" width="10" style="58" customWidth="1"/>
    <col min="9476" max="9722" width="9.08984375" style="58"/>
    <col min="9723" max="9723" width="28.6328125" style="58" customWidth="1"/>
    <col min="9724" max="9724" width="6.36328125" style="58" customWidth="1"/>
    <col min="9725" max="9725" width="0" style="58" hidden="1" customWidth="1"/>
    <col min="9726" max="9726" width="9.36328125" style="58" customWidth="1"/>
    <col min="9727" max="9727" width="9.6328125" style="58" customWidth="1"/>
    <col min="9728" max="9728" width="9.90625" style="58" customWidth="1"/>
    <col min="9729" max="9730" width="9.6328125" style="58" customWidth="1"/>
    <col min="9731" max="9731" width="10" style="58" customWidth="1"/>
    <col min="9732" max="9978" width="9.08984375" style="58"/>
    <col min="9979" max="9979" width="28.6328125" style="58" customWidth="1"/>
    <col min="9980" max="9980" width="6.36328125" style="58" customWidth="1"/>
    <col min="9981" max="9981" width="0" style="58" hidden="1" customWidth="1"/>
    <col min="9982" max="9982" width="9.36328125" style="58" customWidth="1"/>
    <col min="9983" max="9983" width="9.6328125" style="58" customWidth="1"/>
    <col min="9984" max="9984" width="9.90625" style="58" customWidth="1"/>
    <col min="9985" max="9986" width="9.6328125" style="58" customWidth="1"/>
    <col min="9987" max="9987" width="10" style="58" customWidth="1"/>
    <col min="9988" max="10234" width="9.08984375" style="58"/>
    <col min="10235" max="10235" width="28.6328125" style="58" customWidth="1"/>
    <col min="10236" max="10236" width="6.36328125" style="58" customWidth="1"/>
    <col min="10237" max="10237" width="0" style="58" hidden="1" customWidth="1"/>
    <col min="10238" max="10238" width="9.36328125" style="58" customWidth="1"/>
    <col min="10239" max="10239" width="9.6328125" style="58" customWidth="1"/>
    <col min="10240" max="10240" width="9.90625" style="58" customWidth="1"/>
    <col min="10241" max="10242" width="9.6328125" style="58" customWidth="1"/>
    <col min="10243" max="10243" width="10" style="58" customWidth="1"/>
    <col min="10244" max="10490" width="9.08984375" style="58"/>
    <col min="10491" max="10491" width="28.6328125" style="58" customWidth="1"/>
    <col min="10492" max="10492" width="6.36328125" style="58" customWidth="1"/>
    <col min="10493" max="10493" width="0" style="58" hidden="1" customWidth="1"/>
    <col min="10494" max="10494" width="9.36328125" style="58" customWidth="1"/>
    <col min="10495" max="10495" width="9.6328125" style="58" customWidth="1"/>
    <col min="10496" max="10496" width="9.90625" style="58" customWidth="1"/>
    <col min="10497" max="10498" width="9.6328125" style="58" customWidth="1"/>
    <col min="10499" max="10499" width="10" style="58" customWidth="1"/>
    <col min="10500" max="10746" width="9.08984375" style="58"/>
    <col min="10747" max="10747" width="28.6328125" style="58" customWidth="1"/>
    <col min="10748" max="10748" width="6.36328125" style="58" customWidth="1"/>
    <col min="10749" max="10749" width="0" style="58" hidden="1" customWidth="1"/>
    <col min="10750" max="10750" width="9.36328125" style="58" customWidth="1"/>
    <col min="10751" max="10751" width="9.6328125" style="58" customWidth="1"/>
    <col min="10752" max="10752" width="9.90625" style="58" customWidth="1"/>
    <col min="10753" max="10754" width="9.6328125" style="58" customWidth="1"/>
    <col min="10755" max="10755" width="10" style="58" customWidth="1"/>
    <col min="10756" max="11002" width="9.08984375" style="58"/>
    <col min="11003" max="11003" width="28.6328125" style="58" customWidth="1"/>
    <col min="11004" max="11004" width="6.36328125" style="58" customWidth="1"/>
    <col min="11005" max="11005" width="0" style="58" hidden="1" customWidth="1"/>
    <col min="11006" max="11006" width="9.36328125" style="58" customWidth="1"/>
    <col min="11007" max="11007" width="9.6328125" style="58" customWidth="1"/>
    <col min="11008" max="11008" width="9.90625" style="58" customWidth="1"/>
    <col min="11009" max="11010" width="9.6328125" style="58" customWidth="1"/>
    <col min="11011" max="11011" width="10" style="58" customWidth="1"/>
    <col min="11012" max="11258" width="9.08984375" style="58"/>
    <col min="11259" max="11259" width="28.6328125" style="58" customWidth="1"/>
    <col min="11260" max="11260" width="6.36328125" style="58" customWidth="1"/>
    <col min="11261" max="11261" width="0" style="58" hidden="1" customWidth="1"/>
    <col min="11262" max="11262" width="9.36328125" style="58" customWidth="1"/>
    <col min="11263" max="11263" width="9.6328125" style="58" customWidth="1"/>
    <col min="11264" max="11264" width="9.90625" style="58" customWidth="1"/>
    <col min="11265" max="11266" width="9.6328125" style="58" customWidth="1"/>
    <col min="11267" max="11267" width="10" style="58" customWidth="1"/>
    <col min="11268" max="11514" width="9.08984375" style="58"/>
    <col min="11515" max="11515" width="28.6328125" style="58" customWidth="1"/>
    <col min="11516" max="11516" width="6.36328125" style="58" customWidth="1"/>
    <col min="11517" max="11517" width="0" style="58" hidden="1" customWidth="1"/>
    <col min="11518" max="11518" width="9.36328125" style="58" customWidth="1"/>
    <col min="11519" max="11519" width="9.6328125" style="58" customWidth="1"/>
    <col min="11520" max="11520" width="9.90625" style="58" customWidth="1"/>
    <col min="11521" max="11522" width="9.6328125" style="58" customWidth="1"/>
    <col min="11523" max="11523" width="10" style="58" customWidth="1"/>
    <col min="11524" max="11770" width="9.08984375" style="58"/>
    <col min="11771" max="11771" width="28.6328125" style="58" customWidth="1"/>
    <col min="11772" max="11772" width="6.36328125" style="58" customWidth="1"/>
    <col min="11773" max="11773" width="0" style="58" hidden="1" customWidth="1"/>
    <col min="11774" max="11774" width="9.36328125" style="58" customWidth="1"/>
    <col min="11775" max="11775" width="9.6328125" style="58" customWidth="1"/>
    <col min="11776" max="11776" width="9.90625" style="58" customWidth="1"/>
    <col min="11777" max="11778" width="9.6328125" style="58" customWidth="1"/>
    <col min="11779" max="11779" width="10" style="58" customWidth="1"/>
    <col min="11780" max="12026" width="9.08984375" style="58"/>
    <col min="12027" max="12027" width="28.6328125" style="58" customWidth="1"/>
    <col min="12028" max="12028" width="6.36328125" style="58" customWidth="1"/>
    <col min="12029" max="12029" width="0" style="58" hidden="1" customWidth="1"/>
    <col min="12030" max="12030" width="9.36328125" style="58" customWidth="1"/>
    <col min="12031" max="12031" width="9.6328125" style="58" customWidth="1"/>
    <col min="12032" max="12032" width="9.90625" style="58" customWidth="1"/>
    <col min="12033" max="12034" width="9.6328125" style="58" customWidth="1"/>
    <col min="12035" max="12035" width="10" style="58" customWidth="1"/>
    <col min="12036" max="12282" width="9.08984375" style="58"/>
    <col min="12283" max="12283" width="28.6328125" style="58" customWidth="1"/>
    <col min="12284" max="12284" width="6.36328125" style="58" customWidth="1"/>
    <col min="12285" max="12285" width="0" style="58" hidden="1" customWidth="1"/>
    <col min="12286" max="12286" width="9.36328125" style="58" customWidth="1"/>
    <col min="12287" max="12287" width="9.6328125" style="58" customWidth="1"/>
    <col min="12288" max="12288" width="9.90625" style="58" customWidth="1"/>
    <col min="12289" max="12290" width="9.6328125" style="58" customWidth="1"/>
    <col min="12291" max="12291" width="10" style="58" customWidth="1"/>
    <col min="12292" max="12538" width="9.08984375" style="58"/>
    <col min="12539" max="12539" width="28.6328125" style="58" customWidth="1"/>
    <col min="12540" max="12540" width="6.36328125" style="58" customWidth="1"/>
    <col min="12541" max="12541" width="0" style="58" hidden="1" customWidth="1"/>
    <col min="12542" max="12542" width="9.36328125" style="58" customWidth="1"/>
    <col min="12543" max="12543" width="9.6328125" style="58" customWidth="1"/>
    <col min="12544" max="12544" width="9.90625" style="58" customWidth="1"/>
    <col min="12545" max="12546" width="9.6328125" style="58" customWidth="1"/>
    <col min="12547" max="12547" width="10" style="58" customWidth="1"/>
    <col min="12548" max="12794" width="9.08984375" style="58"/>
    <col min="12795" max="12795" width="28.6328125" style="58" customWidth="1"/>
    <col min="12796" max="12796" width="6.36328125" style="58" customWidth="1"/>
    <col min="12797" max="12797" width="0" style="58" hidden="1" customWidth="1"/>
    <col min="12798" max="12798" width="9.36328125" style="58" customWidth="1"/>
    <col min="12799" max="12799" width="9.6328125" style="58" customWidth="1"/>
    <col min="12800" max="12800" width="9.90625" style="58" customWidth="1"/>
    <col min="12801" max="12802" width="9.6328125" style="58" customWidth="1"/>
    <col min="12803" max="12803" width="10" style="58" customWidth="1"/>
    <col min="12804" max="13050" width="9.08984375" style="58"/>
    <col min="13051" max="13051" width="28.6328125" style="58" customWidth="1"/>
    <col min="13052" max="13052" width="6.36328125" style="58" customWidth="1"/>
    <col min="13053" max="13053" width="0" style="58" hidden="1" customWidth="1"/>
    <col min="13054" max="13054" width="9.36328125" style="58" customWidth="1"/>
    <col min="13055" max="13055" width="9.6328125" style="58" customWidth="1"/>
    <col min="13056" max="13056" width="9.90625" style="58" customWidth="1"/>
    <col min="13057" max="13058" width="9.6328125" style="58" customWidth="1"/>
    <col min="13059" max="13059" width="10" style="58" customWidth="1"/>
    <col min="13060" max="13306" width="9.08984375" style="58"/>
    <col min="13307" max="13307" width="28.6328125" style="58" customWidth="1"/>
    <col min="13308" max="13308" width="6.36328125" style="58" customWidth="1"/>
    <col min="13309" max="13309" width="0" style="58" hidden="1" customWidth="1"/>
    <col min="13310" max="13310" width="9.36328125" style="58" customWidth="1"/>
    <col min="13311" max="13311" width="9.6328125" style="58" customWidth="1"/>
    <col min="13312" max="13312" width="9.90625" style="58" customWidth="1"/>
    <col min="13313" max="13314" width="9.6328125" style="58" customWidth="1"/>
    <col min="13315" max="13315" width="10" style="58" customWidth="1"/>
    <col min="13316" max="13562" width="9.08984375" style="58"/>
    <col min="13563" max="13563" width="28.6328125" style="58" customWidth="1"/>
    <col min="13564" max="13564" width="6.36328125" style="58" customWidth="1"/>
    <col min="13565" max="13565" width="0" style="58" hidden="1" customWidth="1"/>
    <col min="13566" max="13566" width="9.36328125" style="58" customWidth="1"/>
    <col min="13567" max="13567" width="9.6328125" style="58" customWidth="1"/>
    <col min="13568" max="13568" width="9.90625" style="58" customWidth="1"/>
    <col min="13569" max="13570" width="9.6328125" style="58" customWidth="1"/>
    <col min="13571" max="13571" width="10" style="58" customWidth="1"/>
    <col min="13572" max="13818" width="9.08984375" style="58"/>
    <col min="13819" max="13819" width="28.6328125" style="58" customWidth="1"/>
    <col min="13820" max="13820" width="6.36328125" style="58" customWidth="1"/>
    <col min="13821" max="13821" width="0" style="58" hidden="1" customWidth="1"/>
    <col min="13822" max="13822" width="9.36328125" style="58" customWidth="1"/>
    <col min="13823" max="13823" width="9.6328125" style="58" customWidth="1"/>
    <col min="13824" max="13824" width="9.90625" style="58" customWidth="1"/>
    <col min="13825" max="13826" width="9.6328125" style="58" customWidth="1"/>
    <col min="13827" max="13827" width="10" style="58" customWidth="1"/>
    <col min="13828" max="14074" width="9.08984375" style="58"/>
    <col min="14075" max="14075" width="28.6328125" style="58" customWidth="1"/>
    <col min="14076" max="14076" width="6.36328125" style="58" customWidth="1"/>
    <col min="14077" max="14077" width="0" style="58" hidden="1" customWidth="1"/>
    <col min="14078" max="14078" width="9.36328125" style="58" customWidth="1"/>
    <col min="14079" max="14079" width="9.6328125" style="58" customWidth="1"/>
    <col min="14080" max="14080" width="9.90625" style="58" customWidth="1"/>
    <col min="14081" max="14082" width="9.6328125" style="58" customWidth="1"/>
    <col min="14083" max="14083" width="10" style="58" customWidth="1"/>
    <col min="14084" max="14330" width="9.08984375" style="58"/>
    <col min="14331" max="14331" width="28.6328125" style="58" customWidth="1"/>
    <col min="14332" max="14332" width="6.36328125" style="58" customWidth="1"/>
    <col min="14333" max="14333" width="0" style="58" hidden="1" customWidth="1"/>
    <col min="14334" max="14334" width="9.36328125" style="58" customWidth="1"/>
    <col min="14335" max="14335" width="9.6328125" style="58" customWidth="1"/>
    <col min="14336" max="14336" width="9.90625" style="58" customWidth="1"/>
    <col min="14337" max="14338" width="9.6328125" style="58" customWidth="1"/>
    <col min="14339" max="14339" width="10" style="58" customWidth="1"/>
    <col min="14340" max="14586" width="9.08984375" style="58"/>
    <col min="14587" max="14587" width="28.6328125" style="58" customWidth="1"/>
    <col min="14588" max="14588" width="6.36328125" style="58" customWidth="1"/>
    <col min="14589" max="14589" width="0" style="58" hidden="1" customWidth="1"/>
    <col min="14590" max="14590" width="9.36328125" style="58" customWidth="1"/>
    <col min="14591" max="14591" width="9.6328125" style="58" customWidth="1"/>
    <col min="14592" max="14592" width="9.90625" style="58" customWidth="1"/>
    <col min="14593" max="14594" width="9.6328125" style="58" customWidth="1"/>
    <col min="14595" max="14595" width="10" style="58" customWidth="1"/>
    <col min="14596" max="14842" width="9.08984375" style="58"/>
    <col min="14843" max="14843" width="28.6328125" style="58" customWidth="1"/>
    <col min="14844" max="14844" width="6.36328125" style="58" customWidth="1"/>
    <col min="14845" max="14845" width="0" style="58" hidden="1" customWidth="1"/>
    <col min="14846" max="14846" width="9.36328125" style="58" customWidth="1"/>
    <col min="14847" max="14847" width="9.6328125" style="58" customWidth="1"/>
    <col min="14848" max="14848" width="9.90625" style="58" customWidth="1"/>
    <col min="14849" max="14850" width="9.6328125" style="58" customWidth="1"/>
    <col min="14851" max="14851" width="10" style="58" customWidth="1"/>
    <col min="14852" max="15098" width="9.08984375" style="58"/>
    <col min="15099" max="15099" width="28.6328125" style="58" customWidth="1"/>
    <col min="15100" max="15100" width="6.36328125" style="58" customWidth="1"/>
    <col min="15101" max="15101" width="0" style="58" hidden="1" customWidth="1"/>
    <col min="15102" max="15102" width="9.36328125" style="58" customWidth="1"/>
    <col min="15103" max="15103" width="9.6328125" style="58" customWidth="1"/>
    <col min="15104" max="15104" width="9.90625" style="58" customWidth="1"/>
    <col min="15105" max="15106" width="9.6328125" style="58" customWidth="1"/>
    <col min="15107" max="15107" width="10" style="58" customWidth="1"/>
    <col min="15108" max="15354" width="9.08984375" style="58"/>
    <col min="15355" max="15355" width="28.6328125" style="58" customWidth="1"/>
    <col min="15356" max="15356" width="6.36328125" style="58" customWidth="1"/>
    <col min="15357" max="15357" width="0" style="58" hidden="1" customWidth="1"/>
    <col min="15358" max="15358" width="9.36328125" style="58" customWidth="1"/>
    <col min="15359" max="15359" width="9.6328125" style="58" customWidth="1"/>
    <col min="15360" max="15360" width="9.90625" style="58" customWidth="1"/>
    <col min="15361" max="15362" width="9.6328125" style="58" customWidth="1"/>
    <col min="15363" max="15363" width="10" style="58" customWidth="1"/>
    <col min="15364" max="15610" width="9.08984375" style="58"/>
    <col min="15611" max="15611" width="28.6328125" style="58" customWidth="1"/>
    <col min="15612" max="15612" width="6.36328125" style="58" customWidth="1"/>
    <col min="15613" max="15613" width="0" style="58" hidden="1" customWidth="1"/>
    <col min="15614" max="15614" width="9.36328125" style="58" customWidth="1"/>
    <col min="15615" max="15615" width="9.6328125" style="58" customWidth="1"/>
    <col min="15616" max="15616" width="9.90625" style="58" customWidth="1"/>
    <col min="15617" max="15618" width="9.6328125" style="58" customWidth="1"/>
    <col min="15619" max="15619" width="10" style="58" customWidth="1"/>
    <col min="15620" max="15866" width="9.08984375" style="58"/>
    <col min="15867" max="15867" width="28.6328125" style="58" customWidth="1"/>
    <col min="15868" max="15868" width="6.36328125" style="58" customWidth="1"/>
    <col min="15869" max="15869" width="0" style="58" hidden="1" customWidth="1"/>
    <col min="15870" max="15870" width="9.36328125" style="58" customWidth="1"/>
    <col min="15871" max="15871" width="9.6328125" style="58" customWidth="1"/>
    <col min="15872" max="15872" width="9.90625" style="58" customWidth="1"/>
    <col min="15873" max="15874" width="9.6328125" style="58" customWidth="1"/>
    <col min="15875" max="15875" width="10" style="58" customWidth="1"/>
    <col min="15876" max="16122" width="9.08984375" style="58"/>
    <col min="16123" max="16123" width="28.6328125" style="58" customWidth="1"/>
    <col min="16124" max="16124" width="6.36328125" style="58" customWidth="1"/>
    <col min="16125" max="16125" width="0" style="58" hidden="1" customWidth="1"/>
    <col min="16126" max="16126" width="9.36328125" style="58" customWidth="1"/>
    <col min="16127" max="16127" width="9.6328125" style="58" customWidth="1"/>
    <col min="16128" max="16128" width="9.90625" style="58" customWidth="1"/>
    <col min="16129" max="16130" width="9.6328125" style="58" customWidth="1"/>
    <col min="16131" max="16131" width="10" style="58" customWidth="1"/>
    <col min="16132" max="16384" width="9.08984375" style="58"/>
  </cols>
  <sheetData>
    <row r="1" spans="1:8" ht="14">
      <c r="H1" s="177" t="s">
        <v>130</v>
      </c>
    </row>
    <row r="2" spans="1:8" ht="14">
      <c r="H2" s="178"/>
    </row>
    <row r="3" spans="1:8" ht="15">
      <c r="A3" s="488" t="s">
        <v>131</v>
      </c>
      <c r="B3" s="488"/>
      <c r="C3" s="488"/>
      <c r="D3" s="488"/>
      <c r="E3" s="260"/>
      <c r="F3" s="260"/>
      <c r="H3" s="178"/>
    </row>
    <row r="4" spans="1:8" ht="12" customHeight="1">
      <c r="H4" s="177" t="s">
        <v>212</v>
      </c>
    </row>
    <row r="5" spans="1:8" ht="12.75" customHeight="1">
      <c r="A5" s="261"/>
      <c r="B5" s="489" t="s">
        <v>1</v>
      </c>
      <c r="C5" s="491" t="s">
        <v>345</v>
      </c>
      <c r="D5" s="486" t="s">
        <v>398</v>
      </c>
      <c r="E5" s="486" t="s">
        <v>399</v>
      </c>
      <c r="F5" s="493" t="s">
        <v>507</v>
      </c>
      <c r="G5" s="486" t="s">
        <v>346</v>
      </c>
      <c r="H5" s="486" t="s">
        <v>401</v>
      </c>
    </row>
    <row r="6" spans="1:8" ht="32.25" customHeight="1">
      <c r="A6" s="262"/>
      <c r="B6" s="490" t="s">
        <v>2</v>
      </c>
      <c r="C6" s="492"/>
      <c r="D6" s="487"/>
      <c r="E6" s="487"/>
      <c r="F6" s="494"/>
      <c r="G6" s="487"/>
      <c r="H6" s="487"/>
    </row>
    <row r="7" spans="1:8" ht="15.5">
      <c r="A7" s="263"/>
      <c r="B7" s="263"/>
      <c r="C7" s="263"/>
      <c r="D7" s="264"/>
      <c r="E7" s="264"/>
      <c r="F7" s="264"/>
      <c r="G7" s="264"/>
    </row>
    <row r="8" spans="1:8" ht="15.5">
      <c r="A8" s="265" t="s">
        <v>132</v>
      </c>
      <c r="B8" s="265" t="s">
        <v>5</v>
      </c>
      <c r="C8" s="266">
        <f t="shared" ref="C8:F8" si="0">C10+C11</f>
        <v>709342</v>
      </c>
      <c r="D8" s="267">
        <f t="shared" si="0"/>
        <v>1052138</v>
      </c>
      <c r="E8" s="267">
        <f t="shared" si="0"/>
        <v>1251932</v>
      </c>
      <c r="F8" s="267">
        <f t="shared" si="0"/>
        <v>1411649</v>
      </c>
      <c r="G8" s="267">
        <f>G10+G11</f>
        <v>1546870</v>
      </c>
      <c r="H8" s="267">
        <f>H10+H11</f>
        <v>1700223</v>
      </c>
    </row>
    <row r="9" spans="1:8" ht="15.5">
      <c r="A9" s="263"/>
      <c r="B9" s="263"/>
      <c r="C9" s="263"/>
      <c r="D9" s="264"/>
      <c r="E9" s="264"/>
      <c r="F9" s="264"/>
      <c r="G9" s="264"/>
    </row>
    <row r="10" spans="1:8" ht="75" customHeight="1">
      <c r="A10" s="268" t="s">
        <v>133</v>
      </c>
      <c r="B10" s="269" t="s">
        <v>5</v>
      </c>
      <c r="C10" s="270">
        <f>222723</f>
        <v>222723</v>
      </c>
      <c r="D10" s="270">
        <v>181647</v>
      </c>
      <c r="E10" s="270">
        <f>D10-4500+7797+1975+(189340-174266)</f>
        <v>201993</v>
      </c>
      <c r="F10" s="270">
        <f>E10-4600+8765+872+(207785-189340)</f>
        <v>225475</v>
      </c>
      <c r="G10" s="270">
        <f>F10-4600+8029+1315+(221076-207785)</f>
        <v>243510</v>
      </c>
      <c r="H10" s="270">
        <f>G10-4600+3982+1315+(232680-221076)</f>
        <v>255811</v>
      </c>
    </row>
    <row r="11" spans="1:8" ht="51.75" customHeight="1">
      <c r="A11" s="268" t="s">
        <v>134</v>
      </c>
      <c r="B11" s="269" t="s">
        <v>5</v>
      </c>
      <c r="C11" s="270">
        <v>486619</v>
      </c>
      <c r="D11" s="270">
        <f>870491</f>
        <v>870491</v>
      </c>
      <c r="E11" s="270">
        <f>D11+179448</f>
        <v>1049939</v>
      </c>
      <c r="F11" s="270">
        <f>E11+136235</f>
        <v>1186174</v>
      </c>
      <c r="G11" s="270">
        <f>F11+117186</f>
        <v>1303360</v>
      </c>
      <c r="H11" s="271">
        <f>G11+141052</f>
        <v>1444412</v>
      </c>
    </row>
    <row r="12" spans="1:8">
      <c r="D12" s="321"/>
      <c r="E12" s="332"/>
    </row>
    <row r="13" spans="1:8">
      <c r="D13" s="321"/>
      <c r="E13" s="332"/>
    </row>
    <row r="14" spans="1:8">
      <c r="D14" s="321"/>
      <c r="E14" s="332"/>
    </row>
    <row r="15" spans="1:8">
      <c r="D15" s="321"/>
      <c r="E15" s="332"/>
    </row>
    <row r="16" spans="1:8">
      <c r="D16" s="321"/>
      <c r="E16" s="332"/>
    </row>
    <row r="17" spans="4:5">
      <c r="D17" s="321"/>
      <c r="E17" s="332"/>
    </row>
    <row r="18" spans="4:5">
      <c r="D18" s="321"/>
      <c r="E18" s="332"/>
    </row>
    <row r="19" spans="4:5">
      <c r="D19" s="321"/>
      <c r="E19" s="332"/>
    </row>
    <row r="20" spans="4:5">
      <c r="D20" s="321"/>
      <c r="E20" s="332"/>
    </row>
    <row r="21" spans="4:5">
      <c r="D21" s="321"/>
      <c r="E21" s="332"/>
    </row>
    <row r="22" spans="4:5">
      <c r="D22" s="321"/>
      <c r="E22" s="332"/>
    </row>
    <row r="23" spans="4:5">
      <c r="D23" s="321"/>
      <c r="E23" s="332"/>
    </row>
    <row r="24" spans="4:5">
      <c r="D24" s="321"/>
      <c r="E24" s="332"/>
    </row>
    <row r="25" spans="4:5">
      <c r="D25" s="321"/>
      <c r="E25" s="332"/>
    </row>
    <row r="26" spans="4:5">
      <c r="D26" s="321"/>
      <c r="E26" s="332"/>
    </row>
    <row r="27" spans="4:5">
      <c r="D27" s="321"/>
      <c r="E27" s="332"/>
    </row>
    <row r="28" spans="4:5">
      <c r="D28" s="321"/>
      <c r="E28" s="332"/>
    </row>
    <row r="29" spans="4:5">
      <c r="D29" s="321"/>
      <c r="E29" s="332"/>
    </row>
    <row r="30" spans="4:5">
      <c r="D30" s="321"/>
      <c r="E30" s="332"/>
    </row>
    <row r="31" spans="4:5">
      <c r="D31" s="321"/>
      <c r="E31" s="332"/>
    </row>
    <row r="32" spans="4:5">
      <c r="D32" s="321"/>
      <c r="E32" s="332"/>
    </row>
    <row r="33" spans="4:5">
      <c r="D33" s="321"/>
      <c r="E33" s="332"/>
    </row>
    <row r="34" spans="4:5">
      <c r="D34" s="321"/>
      <c r="E34" s="332"/>
    </row>
    <row r="35" spans="4:5">
      <c r="D35" s="321"/>
      <c r="E35" s="332"/>
    </row>
    <row r="36" spans="4:5">
      <c r="D36" s="321"/>
      <c r="E36" s="332"/>
    </row>
    <row r="37" spans="4:5">
      <c r="D37" s="321"/>
      <c r="E37" s="332"/>
    </row>
    <row r="38" spans="4:5">
      <c r="D38" s="321"/>
      <c r="E38" s="332"/>
    </row>
    <row r="39" spans="4:5">
      <c r="D39" s="321"/>
      <c r="E39" s="332"/>
    </row>
    <row r="40" spans="4:5">
      <c r="D40" s="321"/>
      <c r="E40" s="332"/>
    </row>
    <row r="41" spans="4:5">
      <c r="D41" s="321"/>
      <c r="E41" s="332"/>
    </row>
    <row r="42" spans="4:5">
      <c r="D42" s="321"/>
      <c r="E42" s="332"/>
    </row>
    <row r="43" spans="4:5">
      <c r="D43" s="321"/>
      <c r="E43" s="332"/>
    </row>
    <row r="44" spans="4:5">
      <c r="D44" s="321"/>
      <c r="E44" s="332"/>
    </row>
    <row r="45" spans="4:5">
      <c r="D45" s="321"/>
      <c r="E45" s="332"/>
    </row>
    <row r="46" spans="4:5">
      <c r="D46" s="321"/>
      <c r="E46" s="332"/>
    </row>
    <row r="47" spans="4:5">
      <c r="D47" s="321"/>
      <c r="E47" s="332"/>
    </row>
    <row r="48" spans="4:5">
      <c r="D48" s="321"/>
      <c r="E48" s="332"/>
    </row>
    <row r="49" spans="4:4">
      <c r="D49" s="321"/>
    </row>
    <row r="50" spans="4:4">
      <c r="D50" s="321"/>
    </row>
    <row r="55" spans="4:4" ht="32.25" customHeight="1"/>
  </sheetData>
  <mergeCells count="8">
    <mergeCell ref="G5:G6"/>
    <mergeCell ref="H5:H6"/>
    <mergeCell ref="A3:D3"/>
    <mergeCell ref="B5:B6"/>
    <mergeCell ref="C5:C6"/>
    <mergeCell ref="D5:D6"/>
    <mergeCell ref="E5:E6"/>
    <mergeCell ref="F5:F6"/>
  </mergeCells>
  <pageMargins left="0.74803149606299213" right="0.23622047244094491" top="0.98425196850393704" bottom="0.98425196850393704"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0"/>
  <sheetViews>
    <sheetView topLeftCell="A2" workbookViewId="0">
      <selection activeCell="C21" sqref="C21"/>
    </sheetView>
  </sheetViews>
  <sheetFormatPr defaultColWidth="9.08984375" defaultRowHeight="14"/>
  <cols>
    <col min="1" max="1" width="37.6328125" style="165" customWidth="1"/>
    <col min="2" max="2" width="11.54296875" style="165" customWidth="1"/>
    <col min="3" max="3" width="12.54296875" style="165" customWidth="1"/>
    <col min="4" max="4" width="11.6328125" style="165" customWidth="1"/>
    <col min="5" max="5" width="12.54296875" style="165" customWidth="1"/>
    <col min="6" max="16384" width="9.08984375" style="165"/>
  </cols>
  <sheetData>
    <row r="1" spans="1:6">
      <c r="E1" s="174" t="s">
        <v>330</v>
      </c>
    </row>
    <row r="3" spans="1:6" ht="33" customHeight="1">
      <c r="A3" s="495" t="s">
        <v>331</v>
      </c>
      <c r="B3" s="495"/>
      <c r="C3" s="495"/>
      <c r="D3" s="495"/>
      <c r="E3" s="495"/>
    </row>
    <row r="4" spans="1:6" ht="15" customHeight="1">
      <c r="A4" s="192"/>
      <c r="B4" s="192"/>
      <c r="C4" s="192"/>
      <c r="D4" s="192"/>
      <c r="E4" s="192"/>
    </row>
    <row r="5" spans="1:6" ht="14.25" customHeight="1"/>
    <row r="6" spans="1:6" ht="29.25" customHeight="1">
      <c r="A6" s="496" t="s">
        <v>394</v>
      </c>
      <c r="B6" s="496"/>
      <c r="C6" s="496"/>
      <c r="D6" s="496"/>
      <c r="E6" s="496"/>
    </row>
    <row r="7" spans="1:6" ht="49.5" customHeight="1">
      <c r="A7" s="496" t="s">
        <v>464</v>
      </c>
      <c r="B7" s="496"/>
      <c r="C7" s="496"/>
      <c r="D7" s="496"/>
      <c r="E7" s="496"/>
    </row>
    <row r="8" spans="1:6" ht="33" customHeight="1">
      <c r="A8" s="497" t="s">
        <v>465</v>
      </c>
      <c r="B8" s="497"/>
      <c r="C8" s="497"/>
      <c r="D8" s="497"/>
      <c r="E8" s="497"/>
    </row>
    <row r="9" spans="1:6" ht="18.75" customHeight="1"/>
    <row r="10" spans="1:6" ht="34.5" customHeight="1">
      <c r="A10" s="175" t="s">
        <v>333</v>
      </c>
      <c r="B10" s="171" t="s">
        <v>399</v>
      </c>
      <c r="C10" s="173" t="s">
        <v>400</v>
      </c>
      <c r="D10" s="172" t="s">
        <v>346</v>
      </c>
      <c r="E10" s="172" t="s">
        <v>401</v>
      </c>
      <c r="F10" s="164"/>
    </row>
    <row r="11" spans="1:6" ht="22.5" customHeight="1">
      <c r="A11" s="167" t="s">
        <v>332</v>
      </c>
      <c r="B11" s="168">
        <v>3485665</v>
      </c>
      <c r="C11" s="168">
        <v>3823062</v>
      </c>
      <c r="D11" s="169">
        <v>4083633</v>
      </c>
      <c r="E11" s="169">
        <v>4332138</v>
      </c>
      <c r="F11" s="164"/>
    </row>
    <row r="12" spans="1:6" ht="22.5" customHeight="1">
      <c r="A12" s="176" t="s">
        <v>343</v>
      </c>
      <c r="B12" s="170">
        <f>ROUND(B11*55.43%,0)</f>
        <v>1932104</v>
      </c>
      <c r="C12" s="169">
        <f t="shared" ref="C12:E12" si="0">ROUND(C11*55.43%,0)</f>
        <v>2119123</v>
      </c>
      <c r="D12" s="347">
        <f t="shared" si="0"/>
        <v>2263558</v>
      </c>
      <c r="E12" s="348">
        <f t="shared" si="0"/>
        <v>2401304</v>
      </c>
      <c r="F12" s="164"/>
    </row>
    <row r="13" spans="1:6" ht="22.5" customHeight="1">
      <c r="A13" s="176" t="s">
        <v>344</v>
      </c>
      <c r="B13" s="170">
        <f>B11-B12</f>
        <v>1553561</v>
      </c>
      <c r="C13" s="169">
        <f t="shared" ref="C13:E13" si="1">C11-C12</f>
        <v>1703939</v>
      </c>
      <c r="D13" s="347">
        <f t="shared" si="1"/>
        <v>1820075</v>
      </c>
      <c r="E13" s="348">
        <f t="shared" si="1"/>
        <v>1930834</v>
      </c>
    </row>
    <row r="14" spans="1:6" ht="18" customHeight="1">
      <c r="D14" s="319"/>
      <c r="E14" s="330"/>
    </row>
    <row r="15" spans="1:6">
      <c r="A15" s="166"/>
      <c r="C15" s="191"/>
      <c r="D15" s="320"/>
      <c r="E15" s="331"/>
    </row>
    <row r="16" spans="1:6">
      <c r="D16" s="319"/>
      <c r="E16" s="330"/>
    </row>
    <row r="17" spans="4:5">
      <c r="D17" s="319"/>
      <c r="E17" s="330"/>
    </row>
    <row r="18" spans="4:5">
      <c r="D18" s="319"/>
      <c r="E18" s="330"/>
    </row>
    <row r="19" spans="4:5">
      <c r="D19" s="319"/>
      <c r="E19" s="330"/>
    </row>
    <row r="20" spans="4:5">
      <c r="D20" s="319"/>
      <c r="E20" s="330"/>
    </row>
    <row r="21" spans="4:5">
      <c r="D21" s="319"/>
      <c r="E21" s="330"/>
    </row>
    <row r="22" spans="4:5">
      <c r="D22" s="319"/>
      <c r="E22" s="330"/>
    </row>
    <row r="23" spans="4:5">
      <c r="D23" s="319"/>
      <c r="E23" s="330"/>
    </row>
    <row r="24" spans="4:5">
      <c r="D24" s="319"/>
      <c r="E24" s="330"/>
    </row>
    <row r="25" spans="4:5">
      <c r="D25" s="319"/>
      <c r="E25" s="330"/>
    </row>
    <row r="26" spans="4:5">
      <c r="D26" s="319"/>
      <c r="E26" s="330"/>
    </row>
    <row r="27" spans="4:5">
      <c r="D27" s="319"/>
      <c r="E27" s="330"/>
    </row>
    <row r="28" spans="4:5">
      <c r="D28" s="319"/>
      <c r="E28" s="330"/>
    </row>
    <row r="29" spans="4:5">
      <c r="D29" s="319"/>
      <c r="E29" s="330"/>
    </row>
    <row r="30" spans="4:5">
      <c r="D30" s="319"/>
      <c r="E30" s="330"/>
    </row>
    <row r="31" spans="4:5">
      <c r="D31" s="319"/>
      <c r="E31" s="330"/>
    </row>
    <row r="32" spans="4:5">
      <c r="D32" s="319"/>
      <c r="E32" s="330"/>
    </row>
    <row r="33" spans="4:5">
      <c r="D33" s="319"/>
      <c r="E33" s="330"/>
    </row>
    <row r="34" spans="4:5">
      <c r="D34" s="319"/>
      <c r="E34" s="330"/>
    </row>
    <row r="35" spans="4:5">
      <c r="D35" s="319"/>
      <c r="E35" s="330"/>
    </row>
    <row r="36" spans="4:5">
      <c r="D36" s="319"/>
      <c r="E36" s="330"/>
    </row>
    <row r="37" spans="4:5">
      <c r="D37" s="319"/>
      <c r="E37" s="330"/>
    </row>
    <row r="38" spans="4:5">
      <c r="D38" s="319"/>
      <c r="E38" s="330"/>
    </row>
    <row r="39" spans="4:5">
      <c r="D39" s="319"/>
      <c r="E39" s="330"/>
    </row>
    <row r="40" spans="4:5">
      <c r="D40" s="319"/>
      <c r="E40" s="330"/>
    </row>
    <row r="41" spans="4:5">
      <c r="D41" s="319"/>
      <c r="E41" s="330"/>
    </row>
    <row r="42" spans="4:5">
      <c r="D42" s="319"/>
      <c r="E42" s="330"/>
    </row>
    <row r="43" spans="4:5">
      <c r="D43" s="319"/>
      <c r="E43" s="330"/>
    </row>
    <row r="44" spans="4:5">
      <c r="D44" s="319"/>
      <c r="E44" s="330"/>
    </row>
    <row r="45" spans="4:5">
      <c r="D45" s="319"/>
      <c r="E45" s="330"/>
    </row>
    <row r="46" spans="4:5">
      <c r="D46" s="319"/>
      <c r="E46" s="330"/>
    </row>
    <row r="47" spans="4:5">
      <c r="D47" s="319"/>
      <c r="E47" s="330"/>
    </row>
    <row r="48" spans="4:5">
      <c r="D48" s="319"/>
      <c r="E48" s="330"/>
    </row>
    <row r="49" spans="4:4">
      <c r="D49" s="319"/>
    </row>
    <row r="50" spans="4:4">
      <c r="D50" s="319"/>
    </row>
  </sheetData>
  <mergeCells count="4">
    <mergeCell ref="A3:E3"/>
    <mergeCell ref="A6:E6"/>
    <mergeCell ref="A7:E7"/>
    <mergeCell ref="A8:E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1"/>
  <sheetViews>
    <sheetView topLeftCell="A49" zoomScale="98" zoomScaleNormal="98" workbookViewId="0">
      <selection activeCell="E31" sqref="E31"/>
    </sheetView>
  </sheetViews>
  <sheetFormatPr defaultRowHeight="14.5"/>
  <cols>
    <col min="1" max="1" width="8" customWidth="1"/>
    <col min="2" max="2" width="55" customWidth="1"/>
    <col min="3" max="3" width="8.453125" customWidth="1"/>
    <col min="4" max="4" width="7.90625" customWidth="1"/>
    <col min="5" max="5" width="8.08984375" customWidth="1"/>
    <col min="6" max="6" width="3.90625" customWidth="1"/>
    <col min="7" max="7" width="4.54296875" customWidth="1"/>
    <col min="8" max="8" width="5.08984375" customWidth="1"/>
  </cols>
  <sheetData>
    <row r="1" spans="1:7">
      <c r="E1" s="193" t="s">
        <v>347</v>
      </c>
    </row>
    <row r="2" spans="1:7">
      <c r="E2" s="174" t="s">
        <v>20</v>
      </c>
    </row>
    <row r="3" spans="1:7" ht="21" customHeight="1">
      <c r="A3" s="485" t="s">
        <v>466</v>
      </c>
      <c r="B3" s="485"/>
      <c r="C3" s="485"/>
      <c r="D3" s="485"/>
      <c r="E3" s="485"/>
      <c r="F3" s="174"/>
      <c r="G3" s="174"/>
    </row>
    <row r="4" spans="1:7" ht="17.25" customHeight="1">
      <c r="A4" s="485" t="s">
        <v>392</v>
      </c>
      <c r="B4" s="485"/>
      <c r="C4" s="485"/>
      <c r="D4" s="485"/>
      <c r="E4" s="485"/>
      <c r="F4" s="174"/>
      <c r="G4" s="174"/>
    </row>
    <row r="5" spans="1:7" ht="17.25" customHeight="1">
      <c r="A5" s="485" t="s">
        <v>393</v>
      </c>
      <c r="B5" s="485"/>
      <c r="C5" s="485"/>
      <c r="D5" s="485"/>
      <c r="E5" s="485"/>
      <c r="F5" s="174"/>
      <c r="G5" s="174"/>
    </row>
    <row r="6" spans="1:7" ht="6.75" customHeight="1">
      <c r="E6" s="174"/>
      <c r="F6" s="174"/>
      <c r="G6" s="174"/>
    </row>
    <row r="7" spans="1:7" ht="65.25" customHeight="1">
      <c r="A7" s="502" t="s">
        <v>348</v>
      </c>
      <c r="B7" s="502"/>
      <c r="C7" s="502"/>
      <c r="D7" s="502"/>
      <c r="E7" s="502"/>
      <c r="F7" s="194"/>
      <c r="G7" s="194"/>
    </row>
    <row r="8" spans="1:7" ht="6" customHeight="1">
      <c r="A8" s="194"/>
      <c r="B8" s="194"/>
      <c r="C8" s="194"/>
      <c r="D8" s="194"/>
      <c r="E8" s="194"/>
      <c r="F8" s="194"/>
      <c r="G8" s="194"/>
    </row>
    <row r="9" spans="1:7" ht="51.75" customHeight="1">
      <c r="A9" s="502" t="s">
        <v>467</v>
      </c>
      <c r="B9" s="502"/>
      <c r="C9" s="502"/>
      <c r="D9" s="502"/>
      <c r="E9" s="502"/>
      <c r="F9" s="194"/>
    </row>
    <row r="10" spans="1:7" ht="33.75" customHeight="1">
      <c r="A10" s="195"/>
    </row>
    <row r="11" spans="1:7" ht="33.75" customHeight="1">
      <c r="A11" s="502" t="s">
        <v>349</v>
      </c>
      <c r="B11" s="502"/>
      <c r="C11" s="502"/>
      <c r="D11" s="502"/>
      <c r="E11" s="502"/>
      <c r="F11" s="194"/>
      <c r="G11" s="194"/>
    </row>
    <row r="12" spans="1:7" ht="6.75" customHeight="1">
      <c r="A12" s="194"/>
      <c r="B12" s="194"/>
      <c r="C12" s="194"/>
      <c r="D12" s="194"/>
    </row>
    <row r="13" spans="1:7" ht="16.5" customHeight="1">
      <c r="B13" s="196" t="s">
        <v>350</v>
      </c>
    </row>
    <row r="14" spans="1:7" ht="16.5" customHeight="1">
      <c r="B14" s="196" t="s">
        <v>351</v>
      </c>
      <c r="D14" s="315"/>
      <c r="E14" s="329"/>
    </row>
    <row r="15" spans="1:7" ht="16.5" customHeight="1">
      <c r="B15" s="196" t="s">
        <v>352</v>
      </c>
      <c r="D15" s="315"/>
      <c r="E15" s="329"/>
    </row>
    <row r="16" spans="1:7" ht="19.5" customHeight="1">
      <c r="B16" s="196" t="s">
        <v>468</v>
      </c>
      <c r="D16" s="315"/>
      <c r="E16" s="329"/>
    </row>
    <row r="17" spans="1:7" ht="3" customHeight="1">
      <c r="B17" s="196"/>
      <c r="D17" s="315"/>
      <c r="E17" s="329"/>
    </row>
    <row r="18" spans="1:7" ht="30.75" customHeight="1">
      <c r="A18" s="502" t="s">
        <v>353</v>
      </c>
      <c r="B18" s="502"/>
      <c r="C18" s="502"/>
      <c r="D18" s="502"/>
      <c r="E18" s="502"/>
      <c r="F18" s="194"/>
      <c r="G18" s="194"/>
    </row>
    <row r="19" spans="1:7" ht="7.5" customHeight="1">
      <c r="A19" s="197"/>
      <c r="D19" s="315"/>
      <c r="E19" s="329"/>
    </row>
    <row r="20" spans="1:7" ht="16.5" customHeight="1">
      <c r="B20" s="196" t="s">
        <v>523</v>
      </c>
      <c r="D20" s="315"/>
      <c r="E20" s="329"/>
    </row>
    <row r="21" spans="1:7" ht="16.5" customHeight="1">
      <c r="B21" s="196" t="s">
        <v>524</v>
      </c>
      <c r="D21" s="315"/>
      <c r="E21" s="329"/>
    </row>
    <row r="22" spans="1:7" ht="16.5" customHeight="1">
      <c r="B22" s="196" t="s">
        <v>525</v>
      </c>
      <c r="D22" s="315"/>
      <c r="E22" s="329"/>
    </row>
    <row r="23" spans="1:7" ht="16.5" customHeight="1">
      <c r="B23" s="196" t="s">
        <v>526</v>
      </c>
      <c r="D23" s="315"/>
      <c r="E23" s="329"/>
    </row>
    <row r="24" spans="1:7" ht="8.25" customHeight="1">
      <c r="A24" s="197"/>
      <c r="D24" s="315"/>
      <c r="E24" s="329"/>
    </row>
    <row r="25" spans="1:7" ht="15.5">
      <c r="A25" s="502" t="s">
        <v>354</v>
      </c>
      <c r="B25" s="502"/>
      <c r="C25" s="502"/>
      <c r="D25" s="504"/>
      <c r="E25" s="329"/>
    </row>
    <row r="26" spans="1:7" ht="7.5" customHeight="1">
      <c r="A26" s="197"/>
      <c r="D26" s="315"/>
      <c r="E26" s="329"/>
    </row>
    <row r="27" spans="1:7" ht="17.25" customHeight="1">
      <c r="B27" s="196" t="s">
        <v>355</v>
      </c>
      <c r="D27" s="315"/>
      <c r="E27" s="329"/>
    </row>
    <row r="28" spans="1:7" ht="17.25" customHeight="1">
      <c r="B28" s="196" t="s">
        <v>356</v>
      </c>
      <c r="D28" s="315"/>
      <c r="E28" s="329"/>
    </row>
    <row r="29" spans="1:7" ht="17.25" customHeight="1">
      <c r="B29" s="196" t="s">
        <v>470</v>
      </c>
      <c r="D29" s="315"/>
      <c r="E29" s="329"/>
    </row>
    <row r="30" spans="1:7" ht="17.25" customHeight="1">
      <c r="B30" s="196" t="s">
        <v>527</v>
      </c>
      <c r="D30" s="315"/>
      <c r="E30" s="329"/>
    </row>
    <row r="31" spans="1:7" ht="17.25" customHeight="1">
      <c r="B31" s="196" t="s">
        <v>528</v>
      </c>
      <c r="D31" s="315"/>
      <c r="E31" s="329"/>
    </row>
    <row r="32" spans="1:7" ht="17.25" customHeight="1">
      <c r="B32" s="196" t="s">
        <v>529</v>
      </c>
      <c r="D32" s="315"/>
      <c r="E32" s="329"/>
    </row>
    <row r="33" spans="1:7" ht="16.5" customHeight="1">
      <c r="A33" s="197"/>
      <c r="B33" s="196" t="s">
        <v>530</v>
      </c>
      <c r="D33" s="315"/>
      <c r="E33" s="329"/>
    </row>
    <row r="34" spans="1:7" ht="15.5">
      <c r="A34" s="502" t="s">
        <v>357</v>
      </c>
      <c r="B34" s="502"/>
      <c r="C34" s="502"/>
      <c r="D34" s="504"/>
      <c r="E34" s="329"/>
    </row>
    <row r="35" spans="1:7" ht="8.25" customHeight="1">
      <c r="A35" s="197"/>
      <c r="D35" s="315"/>
      <c r="E35" s="329"/>
    </row>
    <row r="36" spans="1:7" ht="36" customHeight="1">
      <c r="A36" s="505" t="s">
        <v>358</v>
      </c>
      <c r="B36" s="198" t="s">
        <v>531</v>
      </c>
      <c r="C36" s="506" t="s">
        <v>532</v>
      </c>
      <c r="D36" s="507"/>
      <c r="E36" s="329"/>
    </row>
    <row r="37" spans="1:7" ht="32.25" customHeight="1">
      <c r="A37" s="505"/>
      <c r="B37" s="199">
        <v>7</v>
      </c>
      <c r="C37" s="506"/>
      <c r="D37" s="507"/>
      <c r="E37" s="329"/>
    </row>
    <row r="38" spans="1:7" ht="13.5" customHeight="1">
      <c r="A38" s="200"/>
      <c r="D38" s="315"/>
      <c r="E38" s="329"/>
    </row>
    <row r="39" spans="1:7" ht="24" customHeight="1">
      <c r="A39" s="502" t="s">
        <v>533</v>
      </c>
      <c r="B39" s="502"/>
      <c r="C39" s="502"/>
      <c r="D39" s="504"/>
      <c r="E39" s="329"/>
    </row>
    <row r="40" spans="1:7" ht="9" customHeight="1">
      <c r="A40" s="223"/>
      <c r="B40" s="223"/>
      <c r="C40" s="223"/>
      <c r="D40" s="316"/>
      <c r="E40" s="318"/>
    </row>
    <row r="41" spans="1:7" ht="15.5">
      <c r="A41" s="194"/>
      <c r="B41" s="194"/>
      <c r="C41" s="194"/>
      <c r="D41" s="316"/>
      <c r="E41" s="349" t="s">
        <v>347</v>
      </c>
    </row>
    <row r="42" spans="1:7" ht="15.5">
      <c r="A42" s="194"/>
      <c r="B42" s="194"/>
      <c r="C42" s="194"/>
      <c r="D42" s="316"/>
      <c r="E42" s="350" t="s">
        <v>43</v>
      </c>
    </row>
    <row r="43" spans="1:7" ht="37.5" customHeight="1">
      <c r="A43" s="508" t="s">
        <v>551</v>
      </c>
      <c r="B43" s="508"/>
      <c r="C43" s="508"/>
      <c r="D43" s="508"/>
      <c r="E43" s="508"/>
    </row>
    <row r="44" spans="1:7" ht="17.25" customHeight="1">
      <c r="A44" s="500" t="s">
        <v>471</v>
      </c>
      <c r="B44" s="500"/>
      <c r="C44" s="500"/>
      <c r="D44" s="500"/>
      <c r="E44" s="500"/>
      <c r="F44" s="174"/>
    </row>
    <row r="45" spans="1:7" ht="21.75" customHeight="1">
      <c r="A45" s="509" t="s">
        <v>534</v>
      </c>
      <c r="B45" s="509"/>
      <c r="C45" s="509"/>
      <c r="D45" s="509"/>
      <c r="E45" s="509"/>
      <c r="F45" s="201"/>
      <c r="G45" s="174"/>
    </row>
    <row r="46" spans="1:7" ht="8.25" customHeight="1">
      <c r="A46" s="225"/>
      <c r="B46" s="225"/>
      <c r="C46" s="225"/>
      <c r="D46" s="317"/>
      <c r="E46" s="317"/>
      <c r="F46" s="202"/>
    </row>
    <row r="47" spans="1:7" ht="15.75" customHeight="1">
      <c r="A47" s="226"/>
      <c r="B47" s="501" t="s">
        <v>535</v>
      </c>
      <c r="C47" s="501"/>
      <c r="D47" s="501"/>
      <c r="E47" s="501"/>
      <c r="F47" s="203"/>
    </row>
    <row r="48" spans="1:7" ht="15.75" customHeight="1">
      <c r="A48" s="226"/>
      <c r="B48" s="498" t="s">
        <v>536</v>
      </c>
      <c r="C48" s="498"/>
      <c r="D48" s="498"/>
      <c r="E48" s="498"/>
      <c r="F48" s="203"/>
    </row>
    <row r="49" spans="1:7" ht="15.5">
      <c r="A49" s="226"/>
      <c r="B49" s="499" t="s">
        <v>537</v>
      </c>
      <c r="C49" s="499"/>
      <c r="D49" s="499"/>
      <c r="E49" s="499"/>
      <c r="F49" s="203"/>
    </row>
    <row r="50" spans="1:7" ht="12.75" customHeight="1">
      <c r="A50" s="226"/>
      <c r="B50" s="226"/>
      <c r="C50" s="226"/>
      <c r="D50" s="318"/>
      <c r="E50" s="329"/>
    </row>
    <row r="51" spans="1:7" ht="51.75" customHeight="1">
      <c r="A51" s="500" t="s">
        <v>538</v>
      </c>
      <c r="B51" s="500"/>
      <c r="C51" s="500"/>
      <c r="D51" s="500"/>
      <c r="E51" s="500"/>
      <c r="F51" s="202"/>
    </row>
    <row r="52" spans="1:7" ht="9" customHeight="1">
      <c r="A52" s="225"/>
      <c r="B52" s="225"/>
      <c r="C52" s="225"/>
      <c r="D52" s="317"/>
      <c r="E52" s="225"/>
      <c r="F52" s="202"/>
    </row>
    <row r="53" spans="1:7" ht="15.75" customHeight="1">
      <c r="A53" s="226"/>
      <c r="B53" s="501" t="s">
        <v>539</v>
      </c>
      <c r="C53" s="501"/>
      <c r="D53" s="501"/>
      <c r="E53" s="501"/>
      <c r="F53" s="203"/>
    </row>
    <row r="54" spans="1:7" ht="15.75" customHeight="1">
      <c r="A54" s="226"/>
      <c r="B54" s="498" t="s">
        <v>540</v>
      </c>
      <c r="C54" s="498"/>
      <c r="D54" s="498"/>
      <c r="E54" s="498"/>
      <c r="F54" s="203"/>
    </row>
    <row r="55" spans="1:7" ht="15.5">
      <c r="A55" s="226"/>
      <c r="B55" s="499" t="s">
        <v>541</v>
      </c>
      <c r="C55" s="499"/>
      <c r="D55" s="499"/>
      <c r="E55" s="499"/>
      <c r="F55" s="203"/>
    </row>
    <row r="56" spans="1:7" ht="12.75" customHeight="1">
      <c r="A56" s="226"/>
      <c r="B56" s="226"/>
      <c r="C56" s="226"/>
      <c r="D56" s="226"/>
      <c r="E56" s="224"/>
    </row>
    <row r="57" spans="1:7" ht="40.5" customHeight="1">
      <c r="A57" s="500" t="s">
        <v>542</v>
      </c>
      <c r="B57" s="500"/>
      <c r="C57" s="500"/>
      <c r="D57" s="500"/>
      <c r="E57" s="500"/>
      <c r="F57" s="202"/>
    </row>
    <row r="58" spans="1:7" ht="6" customHeight="1">
      <c r="A58" s="194"/>
      <c r="B58" s="203"/>
      <c r="C58" s="203"/>
      <c r="D58" s="203"/>
      <c r="E58" s="203"/>
      <c r="F58" s="203"/>
    </row>
    <row r="59" spans="1:7" ht="33" customHeight="1">
      <c r="A59" s="502" t="s">
        <v>472</v>
      </c>
      <c r="B59" s="502"/>
      <c r="C59" s="502"/>
      <c r="D59" s="502"/>
      <c r="E59" s="502"/>
      <c r="F59" s="194"/>
      <c r="G59" s="194"/>
    </row>
    <row r="60" spans="1:7" ht="13.5" customHeight="1">
      <c r="A60" s="194"/>
      <c r="B60" s="194"/>
      <c r="C60" s="194"/>
      <c r="D60" s="194"/>
    </row>
    <row r="61" spans="1:7" ht="15.75" customHeight="1">
      <c r="B61" s="476" t="s">
        <v>473</v>
      </c>
      <c r="C61" s="476"/>
    </row>
    <row r="62" spans="1:7" ht="18">
      <c r="B62" s="195" t="s">
        <v>543</v>
      </c>
    </row>
    <row r="63" spans="1:7" ht="15.5">
      <c r="B63" s="195" t="s">
        <v>544</v>
      </c>
    </row>
    <row r="64" spans="1:7" ht="9.75" customHeight="1">
      <c r="A64" s="195"/>
    </row>
    <row r="65" spans="1:6" ht="15">
      <c r="B65" s="503" t="s">
        <v>545</v>
      </c>
      <c r="C65" s="503"/>
      <c r="D65" s="503"/>
      <c r="E65" s="503"/>
    </row>
    <row r="66" spans="1:6" ht="6" customHeight="1">
      <c r="A66" s="195"/>
    </row>
    <row r="67" spans="1:6" ht="34.5" customHeight="1">
      <c r="A67" s="508" t="s">
        <v>474</v>
      </c>
      <c r="B67" s="508"/>
      <c r="C67" s="508"/>
      <c r="D67" s="508"/>
      <c r="E67" s="508"/>
      <c r="F67" s="202"/>
    </row>
    <row r="68" spans="1:6" ht="12.75" customHeight="1">
      <c r="A68" s="194"/>
      <c r="B68" s="194"/>
      <c r="C68" s="194"/>
      <c r="D68" s="194"/>
    </row>
    <row r="69" spans="1:6" ht="15.5">
      <c r="B69" s="476" t="s">
        <v>475</v>
      </c>
      <c r="C69" s="476"/>
    </row>
    <row r="70" spans="1:6" ht="18">
      <c r="B70" s="195" t="s">
        <v>546</v>
      </c>
    </row>
    <row r="71" spans="1:6" ht="15.5">
      <c r="B71" s="195" t="s">
        <v>547</v>
      </c>
    </row>
    <row r="72" spans="1:6" ht="15.5">
      <c r="B72" s="195"/>
    </row>
    <row r="73" spans="1:6" ht="15">
      <c r="B73" s="503" t="s">
        <v>548</v>
      </c>
      <c r="C73" s="503"/>
      <c r="D73" s="503"/>
      <c r="E73" s="503"/>
    </row>
    <row r="74" spans="1:6" ht="9" customHeight="1">
      <c r="A74" s="195"/>
    </row>
    <row r="75" spans="1:6" ht="31.5" customHeight="1">
      <c r="A75" s="508" t="s">
        <v>476</v>
      </c>
      <c r="B75" s="508"/>
      <c r="C75" s="508"/>
      <c r="D75" s="508"/>
      <c r="E75" s="508"/>
      <c r="F75" s="202"/>
    </row>
    <row r="77" spans="1:6" ht="15.5">
      <c r="B77" s="195" t="s">
        <v>477</v>
      </c>
    </row>
    <row r="78" spans="1:6" ht="18">
      <c r="B78" s="195" t="s">
        <v>546</v>
      </c>
    </row>
    <row r="79" spans="1:6" ht="15.5">
      <c r="B79" s="195" t="s">
        <v>549</v>
      </c>
    </row>
    <row r="80" spans="1:6" ht="14.25" customHeight="1">
      <c r="B80" s="195"/>
    </row>
    <row r="81" spans="1:5" ht="15.5">
      <c r="A81" s="195"/>
      <c r="B81" s="503" t="s">
        <v>550</v>
      </c>
      <c r="C81" s="503"/>
      <c r="D81" s="503"/>
      <c r="E81" s="503"/>
    </row>
  </sheetData>
  <mergeCells count="31">
    <mergeCell ref="A67:E67"/>
    <mergeCell ref="A75:E75"/>
    <mergeCell ref="A11:E11"/>
    <mergeCell ref="B65:E65"/>
    <mergeCell ref="B54:E54"/>
    <mergeCell ref="B55:E55"/>
    <mergeCell ref="A57:E57"/>
    <mergeCell ref="A59:E59"/>
    <mergeCell ref="A3:E3"/>
    <mergeCell ref="A4:E4"/>
    <mergeCell ref="B81:E81"/>
    <mergeCell ref="B61:C61"/>
    <mergeCell ref="A18:E18"/>
    <mergeCell ref="A25:D25"/>
    <mergeCell ref="A34:D34"/>
    <mergeCell ref="A36:A37"/>
    <mergeCell ref="C36:D37"/>
    <mergeCell ref="A39:D39"/>
    <mergeCell ref="A44:E44"/>
    <mergeCell ref="B73:E73"/>
    <mergeCell ref="B69:C69"/>
    <mergeCell ref="B47:E47"/>
    <mergeCell ref="A43:E43"/>
    <mergeCell ref="A45:E45"/>
    <mergeCell ref="A5:E5"/>
    <mergeCell ref="B48:E48"/>
    <mergeCell ref="B49:E49"/>
    <mergeCell ref="A51:E51"/>
    <mergeCell ref="B53:E53"/>
    <mergeCell ref="A9:E9"/>
    <mergeCell ref="A7:E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1 lentelė_1-2 lapai</vt:lpstr>
      <vt:lpstr> 2 lentelė_1-4 lapai -</vt:lpstr>
      <vt:lpstr>3 lentelė_1,2 lapai</vt:lpstr>
      <vt:lpstr>4 lentelė 1 lapas+ </vt:lpstr>
      <vt:lpstr>4 lentelė 2 lapas+</vt:lpstr>
      <vt:lpstr>4 lentelė 3,4,5 lapas</vt:lpstr>
      <vt:lpstr>5_lentele</vt:lpstr>
      <vt:lpstr>6 lentelė+</vt:lpstr>
      <vt:lpstr>7 lentelė +</vt:lpstr>
      <vt:lpstr>'3 lentelė_1,2 lapai'!Print_Area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Raselė Bernotienė</dc:creator>
  <cp:lastModifiedBy>Jurgita Bžozovska</cp:lastModifiedBy>
  <cp:lastPrinted>2020-12-15T13:25:21Z</cp:lastPrinted>
  <dcterms:created xsi:type="dcterms:W3CDTF">2014-10-02T05:52:07Z</dcterms:created>
  <dcterms:modified xsi:type="dcterms:W3CDTF">2020-12-16T09:13:22Z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