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lrvk-my.sharepoint.com/personal/regina_kiseliene_lrv_lt/Documents/Darbalaukis/"/>
    </mc:Choice>
  </mc:AlternateContent>
  <xr:revisionPtr revIDLastSave="0" documentId="8_{55D562AD-A55D-456D-B9C9-555665755269}" xr6:coauthVersionLast="47" xr6:coauthVersionMax="47" xr10:uidLastSave="{00000000-0000-0000-0000-000000000000}"/>
  <bookViews>
    <workbookView xWindow="30612" yWindow="4248" windowWidth="23256" windowHeight="12576" activeTab="1" xr2:uid="{5E98F7C6-35FE-4D94-BB01-851D597D063C}"/>
  </bookViews>
  <sheets>
    <sheet name="Apibendrinimas" sheetId="11" r:id="rId1"/>
    <sheet name="Alternatyvos" sheetId="12" r:id="rId2"/>
    <sheet name="IPP finansavimo poreikiai" sheetId="5" r:id="rId3"/>
    <sheet name="I alternatyva" sheetId="13" r:id="rId4"/>
    <sheet name="II alternatyva" sheetId="14" r:id="rId5"/>
    <sheet name="III alternatyva" sheetId="15" r:id="rId6"/>
    <sheet name="SPPD licencijavimui" sheetId="9" r:id="rId7"/>
    <sheet name="Savivaldybių koordinatoriai" sheetId="10" r:id="rId8"/>
    <sheet name="Slaugos lovų mažinimo etapai" sheetId="7" r:id="rId9"/>
  </sheets>
  <definedNames>
    <definedName name="_xlnm._FilterDatabase" localSheetId="7" hidden="1">'Savivaldybių koordinatoriai'!$B$8:$C$68</definedName>
    <definedName name="am_centre_2023">'IPP finansavimo poreikiai'!$Q$26</definedName>
    <definedName name="am_centre_2024">'IPP finansavimo poreikiai'!$Q$29</definedName>
    <definedName name="am_centre_2025">'IPP finansavimo poreikiai'!$Q$32</definedName>
    <definedName name="am_centre_2026">'IPP finansavimo poreikiai'!$Q$35</definedName>
    <definedName name="am_namai_2023">'IPP finansavimo poreikiai'!$Q$43</definedName>
    <definedName name="am_namai_2024">'IPP finansavimo poreikiai'!$Q$46</definedName>
    <definedName name="am_namai_2025">'IPP finansavimo poreikiai'!$Q$49</definedName>
    <definedName name="am_namai_2026">'IPP finansavimo poreikiai'!$Q$52</definedName>
    <definedName name="am_namie_2023">'IPP finansavimo poreikiai'!$Q$4</definedName>
    <definedName name="am_namie_2024">'IPP finansavimo poreikiai'!$Q$8</definedName>
    <definedName name="am_namie_2025">'IPP finansavimo poreikiai'!$Q$12</definedName>
    <definedName name="am_namie_2026">'IPP finansavimo poreikiai'!$Q$16</definedName>
    <definedName name="be_reformos_soc_centre">'IPP finansavimo poreikiai'!$K$27</definedName>
    <definedName name="be_reformos_soc_namie">'IPP finansavimo poreikiai'!$K$6</definedName>
    <definedName name="be_reformos_soc_namuose">'IPP finansavimo poreikiai'!$I$42</definedName>
    <definedName name="ipp_centrai">'IPP finansavimo poreikiai'!$A$24</definedName>
    <definedName name="ipp_namai">'IPP finansavimo poreikiai'!$A$41</definedName>
    <definedName name="ipp_namie">'IPP finansavimo poreikiai'!$A$3</definedName>
    <definedName name="psdf_centre">'IPP finansavimo poreikiai'!$Q$27</definedName>
    <definedName name="psdf_namai_2023">'IPP finansavimo poreikiai'!$Q$44</definedName>
    <definedName name="psdf_namai_2024">'IPP finansavimo poreikiai'!$Q$47</definedName>
    <definedName name="psdf_namai_2025">'IPP finansavimo poreikiai'!$Q$50</definedName>
    <definedName name="psdf_namai_2026">'IPP finansavimo poreikiai'!$Q$53</definedName>
    <definedName name="psdf_namie_2023">'IPP finansavimo poreikiai'!$Q$5</definedName>
    <definedName name="psdf_namie_2024">'IPP finansavimo poreikiai'!$Q$9</definedName>
    <definedName name="psdf_namie_2025">'IPP finansavimo poreikiai'!$Q$13</definedName>
    <definedName name="psdf_namie_2026">'IPP finansavimo poreikiai'!$Q$17</definedName>
    <definedName name="savivalda">'Savivaldybių koordinatoriai'!$F$2</definedName>
    <definedName name="sppd">'SPPD licencijavimui'!$F$2</definedName>
    <definedName name="status_quo_am_centre">Apibendrinimas!$F$7</definedName>
    <definedName name="status_quo_am_namai">Apibendrinimas!$F$8</definedName>
    <definedName name="status_quo_am_namie">Apibendrinimas!$F$6</definedName>
    <definedName name="status_quo_psdf_centre">Apibendrinimas!$G$7</definedName>
    <definedName name="status_quo_psdf_namai">Apibendrinimas!$G$8</definedName>
    <definedName name="status_quo_psdf_namie">Apibendrinimas!$G$6</definedName>
    <definedName name="status_quo_vb_centrai">Apibendrinimas!$E$7</definedName>
    <definedName name="status_quo_vb_namai">Apibendrinimas!$E$8</definedName>
    <definedName name="status_quo_vb_namie">Apibendrinimas!$E$6</definedName>
    <definedName name="suma_am_lovos_2023">Apibendrinimas!$C$8</definedName>
    <definedName name="suma_am_lovos_2024">Apibendrinimas!$I$8</definedName>
    <definedName name="suma_am_lovos_2025">Apibendrinimas!$O$8</definedName>
    <definedName name="suma_am_lovos_2026">Apibendrinimas!$U$8</definedName>
    <definedName name="suma_psdf_lovos_2023">Apibendrinimas!$D$8</definedName>
    <definedName name="suma_psdf_lovos_2024">Apibendrinimas!$J$8</definedName>
    <definedName name="suma_psdf_lovos_2025">Apibendrinimas!$P$8</definedName>
    <definedName name="suma_psdf_lovos_2026">Apibendrinimas!$V$8</definedName>
    <definedName name="suma_vb_lovos_2023">Apibendrinimas!$B$8</definedName>
    <definedName name="suma_vb_lovos_2024">Apibendrinimas!$H$8</definedName>
    <definedName name="suma_vb_lovos_2025">Apibendrinimas!$N$8</definedName>
    <definedName name="suma_vb_lovos_2026">Apibendrinimas!$T$8</definedName>
    <definedName name="vb_centre_2023">'IPP finansavimo poreikiai'!$Q$25</definedName>
    <definedName name="vb_centre_2024">'IPP finansavimo poreikiai'!$Q$28</definedName>
    <definedName name="vb_centre_2025">'IPP finansavimo poreikiai'!$Q$31</definedName>
    <definedName name="vb_centre_2026">'IPP finansavimo poreikiai'!$Q$34</definedName>
    <definedName name="vb_namai_2023">'IPP finansavimo poreikiai'!$Q$42</definedName>
    <definedName name="vb_namai_2024">'IPP finansavimo poreikiai'!$Q$45</definedName>
    <definedName name="vb_namai_2025">'IPP finansavimo poreikiai'!$Q$48</definedName>
    <definedName name="vb_namai_2026">'IPP finansavimo poreikiai'!$Q$51</definedName>
    <definedName name="vb_namie_2023">'IPP finansavimo poreikiai'!$Q$3</definedName>
    <definedName name="vb_namie_2024">'IPP finansavimo poreikiai'!$Q$7</definedName>
    <definedName name="vb_namie_2025">'IPP finansavimo poreikiai'!$Q$11</definedName>
    <definedName name="vb_namie_2026">'IPP finansavimo poreikiai'!$Q$15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7" i="12" l="1"/>
  <c r="P22" i="12"/>
  <c r="P17" i="12"/>
  <c r="P12" i="12"/>
  <c r="P7" i="12"/>
  <c r="T19" i="15"/>
  <c r="T15" i="15"/>
  <c r="T11" i="15"/>
  <c r="T7" i="15"/>
  <c r="S16" i="15"/>
  <c r="S20" i="15"/>
  <c r="S19" i="15"/>
  <c r="S15" i="15"/>
  <c r="S11" i="15"/>
  <c r="S7" i="15"/>
  <c r="S21" i="15"/>
  <c r="Q21" i="15"/>
  <c r="S13" i="15"/>
  <c r="S17" i="15"/>
  <c r="S9" i="15"/>
  <c r="S8" i="15"/>
  <c r="T3" i="15"/>
  <c r="S12" i="15"/>
  <c r="Q20" i="15"/>
  <c r="Q3" i="15"/>
  <c r="T21" i="15"/>
  <c r="Q19" i="15"/>
  <c r="T17" i="15"/>
  <c r="Q17" i="15"/>
  <c r="Q16" i="15"/>
  <c r="T13" i="15"/>
  <c r="Q13" i="15"/>
  <c r="Q12" i="15"/>
  <c r="Q11" i="15" s="1"/>
  <c r="T9" i="15"/>
  <c r="Q9" i="15"/>
  <c r="T8" i="15"/>
  <c r="Q8" i="15"/>
  <c r="Q7" i="15"/>
  <c r="Q5" i="15"/>
  <c r="T4" i="15"/>
  <c r="T12" i="15" s="1"/>
  <c r="Q4" i="15"/>
  <c r="J22" i="12"/>
  <c r="J17" i="12"/>
  <c r="J12" i="12"/>
  <c r="J7" i="12"/>
  <c r="S19" i="14"/>
  <c r="S15" i="14"/>
  <c r="S11" i="14"/>
  <c r="S21" i="14"/>
  <c r="S20" i="14"/>
  <c r="S16" i="14"/>
  <c r="S12" i="14"/>
  <c r="S8" i="14"/>
  <c r="S7" i="14"/>
  <c r="T7" i="14"/>
  <c r="T13" i="14"/>
  <c r="T12" i="14"/>
  <c r="T11" i="14"/>
  <c r="T21" i="14"/>
  <c r="T20" i="14"/>
  <c r="T19" i="14"/>
  <c r="T17" i="14"/>
  <c r="T16" i="14"/>
  <c r="T15" i="14"/>
  <c r="T9" i="14"/>
  <c r="T8" i="14"/>
  <c r="T3" i="14"/>
  <c r="T4" i="14"/>
  <c r="S55" i="13"/>
  <c r="S52" i="13"/>
  <c r="S51" i="13"/>
  <c r="S50" i="13"/>
  <c r="S49" i="13"/>
  <c r="S48" i="13"/>
  <c r="S46" i="13"/>
  <c r="Q8" i="13"/>
  <c r="Q4" i="13"/>
  <c r="S19" i="13"/>
  <c r="S15" i="13"/>
  <c r="S11" i="13"/>
  <c r="S7" i="13"/>
  <c r="T15" i="13"/>
  <c r="T11" i="13"/>
  <c r="T7" i="13"/>
  <c r="T3" i="13"/>
  <c r="D22" i="12"/>
  <c r="D17" i="12"/>
  <c r="D12" i="12"/>
  <c r="D7" i="12"/>
  <c r="T19" i="13"/>
  <c r="S8" i="13"/>
  <c r="S9" i="13"/>
  <c r="Q9" i="13"/>
  <c r="N10" i="13"/>
  <c r="T20" i="13"/>
  <c r="T21" i="13"/>
  <c r="T16" i="13"/>
  <c r="T17" i="13"/>
  <c r="T12" i="13"/>
  <c r="T13" i="13"/>
  <c r="T8" i="13"/>
  <c r="T9" i="13"/>
  <c r="T4" i="13"/>
  <c r="N19" i="13"/>
  <c r="S21" i="13"/>
  <c r="S12" i="13"/>
  <c r="I29" i="12"/>
  <c r="I28" i="12"/>
  <c r="V12" i="12" l="1"/>
  <c r="T16" i="15"/>
  <c r="T20" i="15"/>
  <c r="Q15" i="15"/>
  <c r="V22" i="12" s="1"/>
  <c r="V17" i="12"/>
  <c r="K3" i="14"/>
  <c r="K6" i="14" s="1"/>
  <c r="K7" i="14"/>
  <c r="K11" i="14"/>
  <c r="K19" i="14"/>
  <c r="S20" i="13"/>
  <c r="S16" i="13"/>
  <c r="K15" i="14" l="1"/>
  <c r="K18" i="14" s="1"/>
  <c r="Q16" i="14" s="1"/>
  <c r="Q15" i="14" s="1"/>
  <c r="N10" i="14"/>
  <c r="Q9" i="14" s="1"/>
  <c r="N6" i="14"/>
  <c r="Q5" i="14" s="1"/>
  <c r="K22" i="14"/>
  <c r="Q20" i="14" s="1"/>
  <c r="N14" i="14"/>
  <c r="Q13" i="14" s="1"/>
  <c r="K14" i="14"/>
  <c r="Q4" i="14"/>
  <c r="Q3" i="14" s="1"/>
  <c r="K10" i="14"/>
  <c r="N18" i="14"/>
  <c r="Q17" i="14" s="1"/>
  <c r="N19" i="14"/>
  <c r="N22" i="14" s="1"/>
  <c r="Q21" i="14" s="1"/>
  <c r="S9" i="14" l="1"/>
  <c r="O3" i="14"/>
  <c r="S13" i="14"/>
  <c r="S17" i="14"/>
  <c r="Q19" i="14"/>
  <c r="O19" i="14"/>
  <c r="O15" i="14"/>
  <c r="Q8" i="14"/>
  <c r="Q7" i="14" s="1"/>
  <c r="O7" i="14"/>
  <c r="O11" i="14"/>
  <c r="Q12" i="14"/>
  <c r="Q11" i="14" s="1"/>
  <c r="M42" i="15" l="1"/>
  <c r="M45" i="15" s="1"/>
  <c r="K48" i="5"/>
  <c r="K45" i="5"/>
  <c r="M42" i="14"/>
  <c r="M45" i="14" s="1"/>
  <c r="N45" i="5"/>
  <c r="M42" i="5"/>
  <c r="M48" i="15" l="1"/>
  <c r="M48" i="14"/>
  <c r="K54" i="5"/>
  <c r="K51" i="5"/>
  <c r="Y7" i="11"/>
  <c r="S7" i="11"/>
  <c r="J45" i="15"/>
  <c r="K45" i="15" s="1"/>
  <c r="K48" i="15" s="1"/>
  <c r="K51" i="15" s="1"/>
  <c r="K54" i="15" s="1"/>
  <c r="I24" i="12" a="1"/>
  <c r="I24" i="12" s="1"/>
  <c r="I19" i="12" a="1"/>
  <c r="I19" i="12" s="1"/>
  <c r="I14" i="12" a="1"/>
  <c r="I14" i="12" s="1"/>
  <c r="I9" i="12" a="1"/>
  <c r="I9" i="12" s="1"/>
  <c r="N48" i="13"/>
  <c r="N51" i="13"/>
  <c r="N54" i="13"/>
  <c r="N42" i="13"/>
  <c r="Q44" i="13" s="1"/>
  <c r="G8" i="11" s="1"/>
  <c r="G42" i="13"/>
  <c r="I42" i="13" s="1"/>
  <c r="G45" i="13"/>
  <c r="I45" i="13" s="1"/>
  <c r="K45" i="13"/>
  <c r="N45" i="13" s="1"/>
  <c r="Q47" i="13" s="1"/>
  <c r="G48" i="13"/>
  <c r="I48" i="13" s="1"/>
  <c r="J48" i="13"/>
  <c r="G51" i="13"/>
  <c r="I51" i="13" s="1"/>
  <c r="G54" i="13"/>
  <c r="I54" i="13"/>
  <c r="O54" i="13" s="1"/>
  <c r="J48" i="15" l="1"/>
  <c r="J51" i="15" s="1"/>
  <c r="J54" i="15" s="1"/>
  <c r="N45" i="15"/>
  <c r="M8" i="11"/>
  <c r="F14" i="12"/>
  <c r="M51" i="15"/>
  <c r="N48" i="15"/>
  <c r="M51" i="14"/>
  <c r="Q50" i="13"/>
  <c r="S8" i="11" s="1"/>
  <c r="S47" i="13"/>
  <c r="Q52" i="13"/>
  <c r="O51" i="13"/>
  <c r="Q51" i="13"/>
  <c r="Q49" i="13"/>
  <c r="Q48" i="13"/>
  <c r="O48" i="13"/>
  <c r="O45" i="13"/>
  <c r="Q45" i="13"/>
  <c r="Q46" i="13"/>
  <c r="O42" i="13"/>
  <c r="Q43" i="13"/>
  <c r="E9" i="12" s="1"/>
  <c r="J51" i="13"/>
  <c r="Q55" i="13"/>
  <c r="Q54" i="13" s="1"/>
  <c r="X30" i="7"/>
  <c r="W30" i="7"/>
  <c r="X29" i="7"/>
  <c r="W29" i="7"/>
  <c r="Q44" i="15"/>
  <c r="R9" i="12" s="1"/>
  <c r="W29" i="12"/>
  <c r="U29" i="12"/>
  <c r="U28" i="12"/>
  <c r="O29" i="12"/>
  <c r="C29" i="12"/>
  <c r="O7" i="12"/>
  <c r="O28" i="12" s="1"/>
  <c r="G54" i="15"/>
  <c r="I54" i="15" s="1"/>
  <c r="G51" i="15"/>
  <c r="I51" i="15" s="1"/>
  <c r="G48" i="15"/>
  <c r="I48" i="15" s="1"/>
  <c r="G45" i="15"/>
  <c r="I45" i="15" s="1"/>
  <c r="G42" i="15"/>
  <c r="I42" i="15" s="1"/>
  <c r="Q43" i="15" s="1"/>
  <c r="S39" i="15"/>
  <c r="H38" i="15"/>
  <c r="K38" i="15" s="1"/>
  <c r="H37" i="15"/>
  <c r="K37" i="15" s="1"/>
  <c r="H35" i="15"/>
  <c r="K35" i="15" s="1"/>
  <c r="H34" i="15"/>
  <c r="K34" i="15" s="1"/>
  <c r="Q33" i="15"/>
  <c r="S33" i="15" s="1"/>
  <c r="H32" i="15"/>
  <c r="K32" i="15" s="1"/>
  <c r="H31" i="15"/>
  <c r="K31" i="15" s="1"/>
  <c r="H29" i="15"/>
  <c r="K29" i="15" s="1"/>
  <c r="H28" i="15"/>
  <c r="K28" i="15" s="1"/>
  <c r="H26" i="15"/>
  <c r="K26" i="15" s="1"/>
  <c r="H25" i="15"/>
  <c r="K25" i="15" s="1"/>
  <c r="E19" i="15"/>
  <c r="H20" i="15" s="1"/>
  <c r="H17" i="15"/>
  <c r="N17" i="15" s="1"/>
  <c r="H16" i="15"/>
  <c r="N16" i="15" s="1"/>
  <c r="H15" i="15"/>
  <c r="N15" i="15" s="1"/>
  <c r="H13" i="15"/>
  <c r="N13" i="15" s="1"/>
  <c r="H12" i="15"/>
  <c r="N12" i="15" s="1"/>
  <c r="H11" i="15"/>
  <c r="K11" i="15" s="1"/>
  <c r="H9" i="15"/>
  <c r="N9" i="15" s="1"/>
  <c r="H8" i="15"/>
  <c r="K8" i="15" s="1"/>
  <c r="H7" i="15"/>
  <c r="N7" i="15" s="1"/>
  <c r="H5" i="15"/>
  <c r="K5" i="15" s="1"/>
  <c r="H4" i="15"/>
  <c r="N4" i="15" s="1"/>
  <c r="H3" i="15"/>
  <c r="K3" i="15" s="1"/>
  <c r="G54" i="14"/>
  <c r="I54" i="14" s="1"/>
  <c r="G51" i="14"/>
  <c r="I51" i="14" s="1"/>
  <c r="G48" i="14"/>
  <c r="I48" i="14" s="1"/>
  <c r="J45" i="14"/>
  <c r="G45" i="14"/>
  <c r="I45" i="14" s="1"/>
  <c r="G42" i="14"/>
  <c r="I42" i="14" s="1"/>
  <c r="Q43" i="14" s="1"/>
  <c r="K9" i="12" s="1"/>
  <c r="S39" i="14"/>
  <c r="H38" i="14"/>
  <c r="K38" i="14" s="1"/>
  <c r="H37" i="14"/>
  <c r="K37" i="14" s="1"/>
  <c r="H35" i="14"/>
  <c r="K35" i="14" s="1"/>
  <c r="H34" i="14"/>
  <c r="K34" i="14" s="1"/>
  <c r="K36" i="14" s="1"/>
  <c r="Q33" i="14"/>
  <c r="S33" i="14" s="1"/>
  <c r="H32" i="14"/>
  <c r="K32" i="14" s="1"/>
  <c r="H31" i="14"/>
  <c r="K31" i="14" s="1"/>
  <c r="H29" i="14"/>
  <c r="K29" i="14" s="1"/>
  <c r="H28" i="14"/>
  <c r="K28" i="14" s="1"/>
  <c r="H26" i="14"/>
  <c r="K26" i="14" s="1"/>
  <c r="K25" i="14"/>
  <c r="H25" i="14"/>
  <c r="F23" i="12"/>
  <c r="F18" i="12"/>
  <c r="F13" i="12"/>
  <c r="F8" i="12"/>
  <c r="C8" i="12"/>
  <c r="C28" i="12" s="1"/>
  <c r="I8" i="12"/>
  <c r="S39" i="13"/>
  <c r="H38" i="13"/>
  <c r="K38" i="13" s="1"/>
  <c r="H37" i="13"/>
  <c r="K37" i="13" s="1"/>
  <c r="K39" i="13" s="1"/>
  <c r="H35" i="13"/>
  <c r="K35" i="13" s="1"/>
  <c r="H34" i="13"/>
  <c r="K34" i="13" s="1"/>
  <c r="Q33" i="13"/>
  <c r="S33" i="13" s="1"/>
  <c r="H32" i="13"/>
  <c r="K32" i="13" s="1"/>
  <c r="H31" i="13"/>
  <c r="K31" i="13" s="1"/>
  <c r="H29" i="13"/>
  <c r="K29" i="13" s="1"/>
  <c r="H28" i="13"/>
  <c r="K28" i="13" s="1"/>
  <c r="H26" i="13"/>
  <c r="K26" i="13" s="1"/>
  <c r="H25" i="13"/>
  <c r="K25" i="13" s="1"/>
  <c r="K11" i="13"/>
  <c r="K3" i="13"/>
  <c r="N5" i="15" l="1"/>
  <c r="N8" i="15"/>
  <c r="K39" i="15"/>
  <c r="N11" i="15"/>
  <c r="K12" i="15"/>
  <c r="K17" i="15"/>
  <c r="N3" i="15"/>
  <c r="K9" i="15"/>
  <c r="K15" i="15"/>
  <c r="N10" i="15"/>
  <c r="R12" i="12" s="1"/>
  <c r="K33" i="15"/>
  <c r="J48" i="14"/>
  <c r="K45" i="14"/>
  <c r="K48" i="14" s="1"/>
  <c r="K51" i="14" s="1"/>
  <c r="K54" i="14" s="1"/>
  <c r="N45" i="14"/>
  <c r="K30" i="15"/>
  <c r="O28" i="15" s="1"/>
  <c r="K36" i="13"/>
  <c r="D19" i="12"/>
  <c r="Q8" i="11"/>
  <c r="K30" i="13"/>
  <c r="W8" i="11"/>
  <c r="D24" i="12"/>
  <c r="L8" i="11"/>
  <c r="E14" i="12"/>
  <c r="E24" i="12"/>
  <c r="X8" i="11"/>
  <c r="Q42" i="13"/>
  <c r="F8" i="11"/>
  <c r="E19" i="12"/>
  <c r="R8" i="11"/>
  <c r="D14" i="12"/>
  <c r="K8" i="11"/>
  <c r="K14" i="13"/>
  <c r="N14" i="13"/>
  <c r="Q13" i="13" s="1"/>
  <c r="M54" i="15"/>
  <c r="N54" i="15" s="1"/>
  <c r="N51" i="15"/>
  <c r="M54" i="14"/>
  <c r="U30" i="12"/>
  <c r="C30" i="12"/>
  <c r="I30" i="12"/>
  <c r="O30" i="12"/>
  <c r="Q47" i="15"/>
  <c r="S54" i="13"/>
  <c r="S45" i="13"/>
  <c r="Q53" i="13"/>
  <c r="J54" i="13"/>
  <c r="Q56" i="13" s="1"/>
  <c r="S56" i="13" s="1"/>
  <c r="K39" i="14"/>
  <c r="K27" i="14"/>
  <c r="O25" i="14" s="1"/>
  <c r="F9" i="12"/>
  <c r="N20" i="15"/>
  <c r="K20" i="15"/>
  <c r="N6" i="15"/>
  <c r="R7" i="12" s="1"/>
  <c r="K27" i="15"/>
  <c r="K36" i="15"/>
  <c r="N18" i="15"/>
  <c r="Q38" i="15"/>
  <c r="Q37" i="15" s="1"/>
  <c r="O37" i="15"/>
  <c r="O45" i="15"/>
  <c r="Q46" i="15"/>
  <c r="Q14" i="12" s="1"/>
  <c r="N14" i="15"/>
  <c r="R17" i="12" s="1"/>
  <c r="Q49" i="15"/>
  <c r="O48" i="15"/>
  <c r="Q48" i="15"/>
  <c r="O51" i="15"/>
  <c r="Q52" i="15"/>
  <c r="Q29" i="15"/>
  <c r="Q28" i="15" s="1"/>
  <c r="Q55" i="15"/>
  <c r="Q54" i="15" s="1"/>
  <c r="O54" i="15"/>
  <c r="K13" i="15"/>
  <c r="K14" i="15" s="1"/>
  <c r="H19" i="15"/>
  <c r="H21" i="15"/>
  <c r="K4" i="15"/>
  <c r="K6" i="15" s="1"/>
  <c r="O42" i="15"/>
  <c r="Q42" i="15"/>
  <c r="K7" i="15"/>
  <c r="K10" i="15" s="1"/>
  <c r="K16" i="15"/>
  <c r="Q47" i="14"/>
  <c r="L14" i="12" s="1"/>
  <c r="O45" i="14"/>
  <c r="Q46" i="14"/>
  <c r="K14" i="12" s="1"/>
  <c r="Q49" i="14"/>
  <c r="K19" i="12" s="1"/>
  <c r="O48" i="14"/>
  <c r="O51" i="14"/>
  <c r="Q52" i="14"/>
  <c r="K24" i="12" s="1"/>
  <c r="Q55" i="14"/>
  <c r="Q54" i="14" s="1"/>
  <c r="O54" i="14"/>
  <c r="O42" i="14"/>
  <c r="Q42" i="14"/>
  <c r="J9" i="12" s="1"/>
  <c r="K30" i="14"/>
  <c r="Q35" i="14"/>
  <c r="Q34" i="14" s="1"/>
  <c r="O34" i="14"/>
  <c r="Q38" i="14"/>
  <c r="Q37" i="14" s="1"/>
  <c r="O37" i="14"/>
  <c r="K33" i="14"/>
  <c r="K15" i="13"/>
  <c r="N18" i="13"/>
  <c r="Q17" i="13" s="1"/>
  <c r="N6" i="13"/>
  <c r="Q5" i="13" s="1"/>
  <c r="Q38" i="13"/>
  <c r="Q37" i="13"/>
  <c r="O37" i="13"/>
  <c r="K33" i="13"/>
  <c r="O28" i="13"/>
  <c r="Q29" i="13"/>
  <c r="K27" i="13"/>
  <c r="Q35" i="13"/>
  <c r="Q34" i="13" s="1"/>
  <c r="O34" i="13"/>
  <c r="K6" i="13"/>
  <c r="K7" i="13"/>
  <c r="K18" i="15" l="1"/>
  <c r="Q32" i="15"/>
  <c r="Q31" i="15" s="1"/>
  <c r="O31" i="15"/>
  <c r="Q45" i="15"/>
  <c r="P14" i="12" s="1"/>
  <c r="Q51" i="15"/>
  <c r="P24" i="12" s="1"/>
  <c r="Q24" i="12"/>
  <c r="Q26" i="14"/>
  <c r="Q25" i="14" s="1"/>
  <c r="J51" i="14"/>
  <c r="N48" i="14"/>
  <c r="W7" i="11"/>
  <c r="D23" i="12"/>
  <c r="J23" i="12"/>
  <c r="X7" i="11"/>
  <c r="K23" i="12"/>
  <c r="E23" i="12"/>
  <c r="E8" i="11"/>
  <c r="D9" i="12"/>
  <c r="Q28" i="13"/>
  <c r="L7" i="11"/>
  <c r="K13" i="12"/>
  <c r="E13" i="12"/>
  <c r="S53" i="13"/>
  <c r="Y8" i="11"/>
  <c r="Y6" i="11"/>
  <c r="F22" i="12"/>
  <c r="F29" i="12" s="1"/>
  <c r="L22" i="12"/>
  <c r="K10" i="13"/>
  <c r="S6" i="11"/>
  <c r="S11" i="11" s="1"/>
  <c r="F17" i="12"/>
  <c r="L17" i="12"/>
  <c r="M6" i="11"/>
  <c r="M11" i="11" s="1"/>
  <c r="L12" i="12"/>
  <c r="F12" i="12"/>
  <c r="G6" i="11"/>
  <c r="F7" i="12"/>
  <c r="F28" i="12" s="1"/>
  <c r="L7" i="12"/>
  <c r="Q51" i="14"/>
  <c r="J24" i="12" s="1"/>
  <c r="Q48" i="14"/>
  <c r="J19" i="12" s="1"/>
  <c r="Q45" i="14"/>
  <c r="J14" i="12" s="1"/>
  <c r="S47" i="15"/>
  <c r="R14" i="12"/>
  <c r="X14" i="12" s="1"/>
  <c r="Q50" i="14"/>
  <c r="L19" i="12" s="1"/>
  <c r="O11" i="15"/>
  <c r="Q7" i="12"/>
  <c r="W7" i="12" s="1"/>
  <c r="O3" i="15"/>
  <c r="Q50" i="15"/>
  <c r="O15" i="15"/>
  <c r="Q22" i="12"/>
  <c r="O25" i="15"/>
  <c r="Q26" i="15"/>
  <c r="Q25" i="15" s="1"/>
  <c r="K19" i="15"/>
  <c r="N19" i="15"/>
  <c r="S54" i="15"/>
  <c r="S48" i="15"/>
  <c r="S51" i="15"/>
  <c r="S45" i="15"/>
  <c r="Q35" i="15"/>
  <c r="Q23" i="12" s="1"/>
  <c r="Q34" i="15"/>
  <c r="P23" i="12" s="1"/>
  <c r="O34" i="15"/>
  <c r="N21" i="15"/>
  <c r="K21" i="15"/>
  <c r="Q12" i="12"/>
  <c r="O7" i="15"/>
  <c r="S54" i="14"/>
  <c r="S48" i="14"/>
  <c r="S37" i="14"/>
  <c r="S34" i="14"/>
  <c r="O28" i="14"/>
  <c r="Q29" i="14"/>
  <c r="Q28" i="14" s="1"/>
  <c r="S28" i="14" s="1"/>
  <c r="O31" i="14"/>
  <c r="Q32" i="14"/>
  <c r="Q31" i="14" s="1"/>
  <c r="S31" i="14" s="1"/>
  <c r="K18" i="13"/>
  <c r="O3" i="13"/>
  <c r="Q12" i="13"/>
  <c r="Q11" i="13" s="1"/>
  <c r="O11" i="13"/>
  <c r="N22" i="13"/>
  <c r="Q21" i="13" s="1"/>
  <c r="K19" i="13"/>
  <c r="S17" i="13"/>
  <c r="S13" i="13"/>
  <c r="O7" i="13"/>
  <c r="Q26" i="13"/>
  <c r="O25" i="13"/>
  <c r="O31" i="13"/>
  <c r="Q32" i="13"/>
  <c r="Q17" i="12" l="1"/>
  <c r="Q29" i="12"/>
  <c r="P29" i="12"/>
  <c r="S51" i="14"/>
  <c r="J54" i="14"/>
  <c r="N54" i="14" s="1"/>
  <c r="N51" i="14"/>
  <c r="Q53" i="14" s="1"/>
  <c r="L24" i="12" s="1"/>
  <c r="F7" i="11"/>
  <c r="K8" i="12"/>
  <c r="E8" i="12"/>
  <c r="Q25" i="13"/>
  <c r="Y11" i="11"/>
  <c r="Q31" i="13"/>
  <c r="R7" i="11"/>
  <c r="K18" i="12"/>
  <c r="E18" i="12"/>
  <c r="K7" i="11"/>
  <c r="J13" i="12"/>
  <c r="D13" i="12"/>
  <c r="F30" i="12"/>
  <c r="R6" i="11"/>
  <c r="R11" i="11" s="1"/>
  <c r="E17" i="12"/>
  <c r="K17" i="12"/>
  <c r="Q6" i="11"/>
  <c r="Q7" i="13"/>
  <c r="L6" i="11"/>
  <c r="L11" i="11" s="1"/>
  <c r="E12" i="12"/>
  <c r="K12" i="12"/>
  <c r="Q3" i="13"/>
  <c r="F6" i="11"/>
  <c r="E7" i="12"/>
  <c r="K7" i="12"/>
  <c r="K28" i="12" s="1"/>
  <c r="S50" i="15"/>
  <c r="R19" i="12"/>
  <c r="X19" i="12" s="1"/>
  <c r="S45" i="14"/>
  <c r="Q56" i="15"/>
  <c r="S56" i="15" s="1"/>
  <c r="S31" i="15"/>
  <c r="S28" i="15"/>
  <c r="S34" i="15"/>
  <c r="S37" i="15"/>
  <c r="N22" i="15"/>
  <c r="K22" i="15"/>
  <c r="Q53" i="15"/>
  <c r="O15" i="13"/>
  <c r="Q16" i="13"/>
  <c r="Q15" i="13" s="1"/>
  <c r="S28" i="13"/>
  <c r="S37" i="13"/>
  <c r="S34" i="13"/>
  <c r="K22" i="13"/>
  <c r="E7" i="11" l="1"/>
  <c r="D8" i="12"/>
  <c r="J8" i="12"/>
  <c r="J28" i="12" s="1"/>
  <c r="E28" i="12"/>
  <c r="Q7" i="11"/>
  <c r="Q11" i="11" s="1"/>
  <c r="J18" i="12"/>
  <c r="D18" i="12"/>
  <c r="S31" i="13"/>
  <c r="W6" i="11"/>
  <c r="W11" i="11" s="1"/>
  <c r="J29" i="12"/>
  <c r="D29" i="12"/>
  <c r="X6" i="11"/>
  <c r="X11" i="11" s="1"/>
  <c r="K22" i="12"/>
  <c r="K29" i="12" s="1"/>
  <c r="K30" i="12" s="1"/>
  <c r="E22" i="12"/>
  <c r="E29" i="12" s="1"/>
  <c r="K6" i="11"/>
  <c r="K11" i="11" s="1"/>
  <c r="E6" i="11"/>
  <c r="D28" i="12"/>
  <c r="S53" i="15"/>
  <c r="R24" i="12"/>
  <c r="Q56" i="14"/>
  <c r="O19" i="15"/>
  <c r="O19" i="13"/>
  <c r="Q20" i="13"/>
  <c r="Q19" i="13" s="1"/>
  <c r="J30" i="12" l="1"/>
  <c r="E30" i="12"/>
  <c r="D30" i="12"/>
  <c r="G11" i="11"/>
  <c r="F11" i="11"/>
  <c r="E11" i="11"/>
  <c r="X24" i="12"/>
  <c r="V26" i="12" l="1"/>
  <c r="V25" i="12"/>
  <c r="V21" i="12"/>
  <c r="V20" i="12"/>
  <c r="V16" i="12"/>
  <c r="V15" i="12"/>
  <c r="P26" i="12"/>
  <c r="P25" i="12"/>
  <c r="P21" i="12"/>
  <c r="P20" i="12"/>
  <c r="P16" i="12"/>
  <c r="P15" i="12"/>
  <c r="V23" i="12"/>
  <c r="V18" i="12"/>
  <c r="V13" i="12"/>
  <c r="X23" i="12"/>
  <c r="X22" i="12"/>
  <c r="X18" i="12"/>
  <c r="X17" i="12"/>
  <c r="X13" i="12"/>
  <c r="X12" i="12"/>
  <c r="X8" i="12"/>
  <c r="X7" i="12"/>
  <c r="R22" i="12"/>
  <c r="Q18" i="12"/>
  <c r="P18" i="12"/>
  <c r="Q13" i="12"/>
  <c r="L23" i="12"/>
  <c r="L29" i="12" s="1"/>
  <c r="L18" i="12"/>
  <c r="L13" i="12"/>
  <c r="L8" i="12"/>
  <c r="P13" i="12"/>
  <c r="R23" i="12"/>
  <c r="R18" i="12"/>
  <c r="R13" i="12"/>
  <c r="R8" i="12"/>
  <c r="R28" i="12" s="1"/>
  <c r="Q8" i="12"/>
  <c r="P8" i="12"/>
  <c r="T10" i="11"/>
  <c r="N10" i="11"/>
  <c r="H10" i="11"/>
  <c r="T9" i="11"/>
  <c r="N9" i="11"/>
  <c r="H9" i="11"/>
  <c r="V7" i="11"/>
  <c r="P7" i="11"/>
  <c r="J7" i="11"/>
  <c r="D7" i="11"/>
  <c r="A8" i="11"/>
  <c r="A7" i="11"/>
  <c r="A6" i="11"/>
  <c r="F2"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9" i="10"/>
  <c r="C6" i="10" s="1"/>
  <c r="F2" i="9"/>
  <c r="G54" i="5"/>
  <c r="I54" i="5" s="1"/>
  <c r="Q55" i="5" s="1"/>
  <c r="G51" i="5"/>
  <c r="I51" i="5" s="1"/>
  <c r="Q52" i="5" s="1"/>
  <c r="U8" i="11" s="1"/>
  <c r="G48" i="5"/>
  <c r="G45" i="5"/>
  <c r="I45" i="5" s="1"/>
  <c r="Q46" i="5" s="1"/>
  <c r="I8" i="11" s="1"/>
  <c r="J45" i="5"/>
  <c r="G42" i="5"/>
  <c r="I42" i="5" s="1"/>
  <c r="H38" i="5"/>
  <c r="K38" i="5" s="1"/>
  <c r="H37" i="5"/>
  <c r="K37" i="5" s="1"/>
  <c r="H35" i="5"/>
  <c r="K35" i="5" s="1"/>
  <c r="H34" i="5"/>
  <c r="K34" i="5" s="1"/>
  <c r="H32" i="5"/>
  <c r="K32" i="5" s="1"/>
  <c r="H31" i="5"/>
  <c r="K31" i="5" s="1"/>
  <c r="Q33" i="5"/>
  <c r="H29" i="5"/>
  <c r="K29" i="5" s="1"/>
  <c r="H28" i="5"/>
  <c r="K28" i="5" s="1"/>
  <c r="K30" i="5" s="1"/>
  <c r="H26" i="5"/>
  <c r="K26" i="5" s="1"/>
  <c r="H25" i="5"/>
  <c r="H16" i="5"/>
  <c r="H17" i="5"/>
  <c r="H15" i="5"/>
  <c r="H11" i="5"/>
  <c r="H12" i="5"/>
  <c r="H13" i="5"/>
  <c r="H7" i="5"/>
  <c r="N7" i="5" s="1"/>
  <c r="H9" i="5"/>
  <c r="H8" i="5"/>
  <c r="H3" i="5"/>
  <c r="N3" i="5" s="1"/>
  <c r="K3" i="5"/>
  <c r="H4" i="5"/>
  <c r="H5" i="5"/>
  <c r="S30" i="7"/>
  <c r="S29" i="7"/>
  <c r="T29" i="7"/>
  <c r="T30" i="7" s="1"/>
  <c r="T32" i="7" s="1"/>
  <c r="V30" i="7"/>
  <c r="V29" i="7"/>
  <c r="R39" i="5"/>
  <c r="K25" i="5"/>
  <c r="X29" i="12" l="1"/>
  <c r="R29" i="12"/>
  <c r="R30" i="12" s="1"/>
  <c r="V8" i="12"/>
  <c r="W8" i="12"/>
  <c r="K39" i="5"/>
  <c r="O37" i="5" s="1"/>
  <c r="Q43" i="5"/>
  <c r="C8" i="11" s="1"/>
  <c r="K7" i="5"/>
  <c r="O51" i="5"/>
  <c r="Q51" i="5"/>
  <c r="T8" i="11" s="1"/>
  <c r="O54" i="5"/>
  <c r="Q54" i="5"/>
  <c r="O45" i="5"/>
  <c r="Q45" i="5"/>
  <c r="H8" i="11" s="1"/>
  <c r="J48" i="5"/>
  <c r="J51" i="5" s="1"/>
  <c r="J54" i="5" s="1"/>
  <c r="O28" i="5"/>
  <c r="Q29" i="5"/>
  <c r="I7" i="11" s="1"/>
  <c r="O42" i="5"/>
  <c r="M45" i="5"/>
  <c r="M48" i="5" s="1"/>
  <c r="Q44" i="5"/>
  <c r="D8" i="11" s="1"/>
  <c r="I48" i="5"/>
  <c r="Q49" i="5" s="1"/>
  <c r="O8" i="11" s="1"/>
  <c r="N5" i="5"/>
  <c r="N6" i="5" s="1"/>
  <c r="Q5" i="5" s="1"/>
  <c r="D6" i="11" s="1"/>
  <c r="D11" i="11" s="1"/>
  <c r="D15" i="11" s="1"/>
  <c r="K5" i="5"/>
  <c r="K6" i="5" s="1"/>
  <c r="N4" i="5"/>
  <c r="K4" i="5"/>
  <c r="K36" i="5"/>
  <c r="K33" i="5"/>
  <c r="R33" i="5"/>
  <c r="K27" i="5"/>
  <c r="Q19" i="12" l="1"/>
  <c r="X9" i="12"/>
  <c r="X28" i="12" s="1"/>
  <c r="X30" i="12" s="1"/>
  <c r="V14" i="12"/>
  <c r="Q9" i="12"/>
  <c r="Q28" i="12" s="1"/>
  <c r="Q30" i="12" s="1"/>
  <c r="V24" i="12"/>
  <c r="V29" i="12" s="1"/>
  <c r="Q38" i="5"/>
  <c r="Q37" i="5" s="1"/>
  <c r="O3" i="5"/>
  <c r="Q4" i="5"/>
  <c r="O48" i="5"/>
  <c r="Q42" i="5"/>
  <c r="B8" i="11" s="1"/>
  <c r="Q28" i="5"/>
  <c r="H7" i="11" s="1"/>
  <c r="Q47" i="5"/>
  <c r="J8" i="11" s="1"/>
  <c r="Q26" i="5"/>
  <c r="C7" i="11" s="1"/>
  <c r="Q32" i="5"/>
  <c r="O7" i="11" s="1"/>
  <c r="O31" i="5"/>
  <c r="Q35" i="5"/>
  <c r="U7" i="11" s="1"/>
  <c r="O34" i="5"/>
  <c r="O25" i="5"/>
  <c r="W9" i="12" l="1"/>
  <c r="W28" i="12" s="1"/>
  <c r="W30" i="12" s="1"/>
  <c r="P9" i="12"/>
  <c r="P28" i="12" s="1"/>
  <c r="P30" i="12" s="1"/>
  <c r="D16" i="11"/>
  <c r="C6" i="11"/>
  <c r="C11" i="11" s="1"/>
  <c r="C15" i="11" s="1"/>
  <c r="Q34" i="5"/>
  <c r="T7" i="11" s="1"/>
  <c r="Q3" i="5"/>
  <c r="Q25" i="5"/>
  <c r="B7" i="11" s="1"/>
  <c r="Q48" i="5"/>
  <c r="N8" i="11" s="1"/>
  <c r="M51" i="5"/>
  <c r="N48" i="5"/>
  <c r="Q50" i="5" s="1"/>
  <c r="P8" i="11" s="1"/>
  <c r="R47" i="5"/>
  <c r="Q31" i="5"/>
  <c r="N7" i="11" s="1"/>
  <c r="E19" i="5"/>
  <c r="N17" i="5"/>
  <c r="N16" i="5"/>
  <c r="K15" i="5"/>
  <c r="N13" i="5"/>
  <c r="N12" i="5"/>
  <c r="N11" i="5"/>
  <c r="K9" i="5"/>
  <c r="K8" i="5"/>
  <c r="V9" i="12" l="1"/>
  <c r="V28" i="12" s="1"/>
  <c r="V30" i="12" s="1"/>
  <c r="V19" i="12"/>
  <c r="P19" i="12"/>
  <c r="C16" i="11"/>
  <c r="B6" i="11"/>
  <c r="B11" i="11" s="1"/>
  <c r="B15" i="11" s="1"/>
  <c r="R37" i="5"/>
  <c r="R28" i="5"/>
  <c r="R50" i="5"/>
  <c r="R34" i="5"/>
  <c r="M54" i="5"/>
  <c r="N51" i="5"/>
  <c r="Q53" i="5" s="1"/>
  <c r="V8" i="11" s="1"/>
  <c r="H20" i="5"/>
  <c r="N20" i="5" s="1"/>
  <c r="H21" i="5"/>
  <c r="N21" i="5" s="1"/>
  <c r="H19" i="5"/>
  <c r="R31" i="5"/>
  <c r="N14" i="5"/>
  <c r="Q13" i="5" s="1"/>
  <c r="P6" i="11" s="1"/>
  <c r="P11" i="11" s="1"/>
  <c r="N19" i="5"/>
  <c r="K16" i="5"/>
  <c r="K17" i="5"/>
  <c r="N15" i="5"/>
  <c r="K12" i="5"/>
  <c r="K13" i="5"/>
  <c r="K11" i="5"/>
  <c r="N8" i="5"/>
  <c r="N9" i="5"/>
  <c r="K10" i="5"/>
  <c r="Q8" i="5" s="1"/>
  <c r="I6" i="11" s="1"/>
  <c r="I11" i="11" s="1"/>
  <c r="N54" i="5" l="1"/>
  <c r="Q56" i="5" s="1"/>
  <c r="R56" i="5" s="1"/>
  <c r="I15" i="11"/>
  <c r="I16" i="11" s="1"/>
  <c r="I17" i="11"/>
  <c r="P15" i="11"/>
  <c r="P17" i="11"/>
  <c r="B16" i="11"/>
  <c r="K21" i="5"/>
  <c r="N22" i="5"/>
  <c r="N18" i="5"/>
  <c r="Q17" i="5" s="1"/>
  <c r="V6" i="11" s="1"/>
  <c r="V11" i="11" s="1"/>
  <c r="R53" i="5"/>
  <c r="Q21" i="5"/>
  <c r="K20" i="5"/>
  <c r="K19" i="5"/>
  <c r="K18" i="5"/>
  <c r="Q16" i="5" s="1"/>
  <c r="U6" i="11" s="1"/>
  <c r="U11" i="11" s="1"/>
  <c r="K14" i="5"/>
  <c r="Q12" i="5" s="1"/>
  <c r="O6" i="11" s="1"/>
  <c r="O11" i="11" s="1"/>
  <c r="N10" i="5"/>
  <c r="U15" i="11" l="1"/>
  <c r="U16" i="11" s="1"/>
  <c r="U17" i="11"/>
  <c r="P16" i="11"/>
  <c r="O15" i="11"/>
  <c r="O16" i="11" s="1"/>
  <c r="O17" i="11"/>
  <c r="V15" i="11"/>
  <c r="V16" i="11" s="1"/>
  <c r="V17" i="11"/>
  <c r="Q7" i="5"/>
  <c r="H6" i="11" s="1"/>
  <c r="H11" i="11" s="1"/>
  <c r="O7" i="5"/>
  <c r="Q9" i="5"/>
  <c r="J6" i="11" s="1"/>
  <c r="J11" i="11" s="1"/>
  <c r="R21" i="5"/>
  <c r="R17" i="5"/>
  <c r="R13" i="5"/>
  <c r="K22" i="5"/>
  <c r="Q20" i="5" s="1"/>
  <c r="O11" i="5"/>
  <c r="O15" i="5"/>
  <c r="Q15" i="5"/>
  <c r="T6" i="11" s="1"/>
  <c r="T11" i="11" s="1"/>
  <c r="H16" i="11" l="1"/>
  <c r="H15" i="11"/>
  <c r="H17" i="11"/>
  <c r="J15" i="11"/>
  <c r="J16" i="11" s="1"/>
  <c r="J17" i="11"/>
  <c r="T15" i="11"/>
  <c r="T17" i="11"/>
  <c r="T16" i="11"/>
  <c r="Q11" i="5"/>
  <c r="R9" i="5"/>
  <c r="O19" i="5"/>
  <c r="R15" i="5"/>
  <c r="R7" i="5"/>
  <c r="R11" i="5" l="1"/>
  <c r="N6" i="11"/>
  <c r="N11" i="11" s="1"/>
  <c r="Q19" i="5"/>
  <c r="N17" i="11" l="1"/>
  <c r="N15" i="11"/>
  <c r="N16" i="11"/>
  <c r="R19" i="5"/>
  <c r="R48" i="5" l="1"/>
  <c r="R45" i="5"/>
  <c r="R54" i="5" l="1"/>
  <c r="R51" i="5" l="1"/>
  <c r="Q44" i="14" l="1"/>
  <c r="L9" i="12" s="1"/>
  <c r="L28" i="12" s="1"/>
  <c r="L30" i="12" s="1"/>
  <c r="S56" i="14" l="1"/>
  <c r="S50" i="14"/>
  <c r="S47" i="14"/>
  <c r="S53"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<sst xmlns="http://schemas.openxmlformats.org/spreadsheetml/2006/main" count="874" uniqueCount="174">
  <si>
    <t>Iš viso</t>
  </si>
  <si>
    <t>IPP paslaugų grupė</t>
  </si>
  <si>
    <t>Suplanuotos investicijos</t>
  </si>
  <si>
    <t>Metai</t>
  </si>
  <si>
    <t>Gavėjai</t>
  </si>
  <si>
    <t>IPP paslaugos (socialinis aspektas)</t>
  </si>
  <si>
    <t>IPP paslaugos (slaugos aspektas)</t>
  </si>
  <si>
    <t>Numatomas lėšų poreikis</t>
  </si>
  <si>
    <t>Gavėjų skaičius (iš viso)</t>
  </si>
  <si>
    <t>Poreikiai pagal sunkumą</t>
  </si>
  <si>
    <t>Poreikių dalis (proc.)</t>
  </si>
  <si>
    <t>Gavėjų skaičius</t>
  </si>
  <si>
    <t>Paslaugų skaičius val./mėn.</t>
  </si>
  <si>
    <t>Paslaugos kaina (eur/val.)</t>
  </si>
  <si>
    <t>Suma (viso eurais)</t>
  </si>
  <si>
    <t>Paslaugų skaičius asmeniui (per metus)</t>
  </si>
  <si>
    <t>Paslaugos kaina (vnt.)</t>
  </si>
  <si>
    <t>IPP finansinis poreikis (viso eurais)</t>
  </si>
  <si>
    <t>Lėšų šaltinis</t>
  </si>
  <si>
    <t>Suma (eurais)</t>
  </si>
  <si>
    <t>Papildomas poreikis (lyginant su 2023 m.)</t>
  </si>
  <si>
    <t>IPP paslaugos namie</t>
  </si>
  <si>
    <t>SAM- Mobilios komandos (90 vnt.)</t>
  </si>
  <si>
    <t>Dideli poreikiai</t>
  </si>
  <si>
    <t>Valstybės biudžetas</t>
  </si>
  <si>
    <t>Vidutiniai poreikiai</t>
  </si>
  <si>
    <t>Asmens mokėjimai (soc. paslaugoms) -  7 proc. nuo poreikio</t>
  </si>
  <si>
    <t>SAM- Specialistų mokymai (1000 vnt.)</t>
  </si>
  <si>
    <t>Maži poreikiai</t>
  </si>
  <si>
    <t>PSDF</t>
  </si>
  <si>
    <t>VISO</t>
  </si>
  <si>
    <t>2027/2030</t>
  </si>
  <si>
    <t>IPP paslaugos dienos centruose</t>
  </si>
  <si>
    <t>SAM- investicijos į IPP dienos centrų modernizavimą (10 vnt.)- 1 renovuotas DC suformuos 10 papildomų vietų</t>
  </si>
  <si>
    <t>Asmens mokėjimai (soc. paslaugoms) -  13 proc. nuo poreikio</t>
  </si>
  <si>
    <t>REGIONŲ- investicijos į IPP dienos centrų modernizavimą (37 vnt.)</t>
  </si>
  <si>
    <t>Asmens mokėjimai (soc. paslaugoms) -  9 proc. nuo poreikio</t>
  </si>
  <si>
    <t>IPP paslaugos stacionare</t>
  </si>
  <si>
    <t>Suplanuotas vietų steigimas</t>
  </si>
  <si>
    <t>Stacionarinių IPP vietų skaičius (iš viso)</t>
  </si>
  <si>
    <t>Vietų skaičius IPP (dabartiniai globos namai)</t>
  </si>
  <si>
    <t>Vietos kaina (eurai mėn.)</t>
  </si>
  <si>
    <t>Lovų skaičius (slauga)</t>
  </si>
  <si>
    <t>Asmenų skaičius per metus (slauga)</t>
  </si>
  <si>
    <t>Gulėjimo trukmė mėn.</t>
  </si>
  <si>
    <t>VIsos lėšos IPP vietoms</t>
  </si>
  <si>
    <t>SAM slaugos lovos transformuojamos į IPP vietas (viso papildomai 1867)</t>
  </si>
  <si>
    <t>SADM papildomos vietos (200, kurios atsiranda palaipsniui)</t>
  </si>
  <si>
    <t>SADM papildomos vietos (300, kurios atsiranda palaipsniui)</t>
  </si>
  <si>
    <t>Asmens mokėjimai</t>
  </si>
  <si>
    <t>SADM ES lėšos (integruotoms paslaugoms)</t>
  </si>
  <si>
    <t>SAM VB pažangos ir Regionų PP lėšos DC paslaugoms</t>
  </si>
  <si>
    <t>Poreikis</t>
  </si>
  <si>
    <r>
      <rPr>
        <sz val="10"/>
        <color rgb="FF000000"/>
        <rFont val="Calibri"/>
        <family val="2"/>
        <charset val="186"/>
      </rPr>
      <t xml:space="preserve">Reformai </t>
    </r>
    <r>
      <rPr>
        <b/>
        <sz val="10"/>
        <color rgb="FF000000"/>
        <rFont val="Calibri"/>
        <family val="2"/>
        <charset val="186"/>
      </rPr>
      <t xml:space="preserve">įgyvendinti </t>
    </r>
    <r>
      <rPr>
        <sz val="10"/>
        <color rgb="FF000000"/>
        <rFont val="Calibri"/>
        <family val="2"/>
        <charset val="186"/>
      </rPr>
      <t>reikalingos lėšos</t>
    </r>
  </si>
  <si>
    <t>SPPD papildomoms funkcijoms</t>
  </si>
  <si>
    <t>Savivaldybių koordinatorių funkcijoms</t>
  </si>
  <si>
    <t>Išlaidos</t>
  </si>
  <si>
    <t>Išlaidos metams</t>
  </si>
  <si>
    <t>Darbo užmokestis</t>
  </si>
  <si>
    <t>Viso metams</t>
  </si>
  <si>
    <t>Sodra</t>
  </si>
  <si>
    <t>Išlaidos prekėms ir paslaugoms</t>
  </si>
  <si>
    <t>Etatų paskirtis</t>
  </si>
  <si>
    <t>Etatų poreikis</t>
  </si>
  <si>
    <t>IPP įstaigų licencijavimo poreikiui užtikrinti</t>
  </si>
  <si>
    <t>Ilgalaikės priežiūros paslaugų administravimas</t>
  </si>
  <si>
    <t>Koordinatorių etatai savivaldybėse</t>
  </si>
  <si>
    <t>Savivaldybė</t>
  </si>
  <si>
    <t>Gyventojų skaičius 2022 m.</t>
  </si>
  <si>
    <t>Etatų poreikis (1 etatas 25 tūkst. gyventojų)</t>
  </si>
  <si>
    <t>Akmenės r. sav.</t>
  </si>
  <si>
    <t>Alytaus m. sav.</t>
  </si>
  <si>
    <t>Alytaus r. sav.</t>
  </si>
  <si>
    <t>Anykščių r. sav.</t>
  </si>
  <si>
    <t>Birštono sav.</t>
  </si>
  <si>
    <t>Biržų r. sav.</t>
  </si>
  <si>
    <t>Druskininkų sav.</t>
  </si>
  <si>
    <t>Elektrėnų sav.</t>
  </si>
  <si>
    <t>Ignalinos r. sav.</t>
  </si>
  <si>
    <t>Jonavos r. sav.</t>
  </si>
  <si>
    <t>Joniškio r. sav.</t>
  </si>
  <si>
    <t>Jurbarko r. sav.</t>
  </si>
  <si>
    <t>Kaišiadorių r. sav.</t>
  </si>
  <si>
    <t>Kalvarijos sav.</t>
  </si>
  <si>
    <t>Kauno m. sav.</t>
  </si>
  <si>
    <t>Kauno r. sav.</t>
  </si>
  <si>
    <t>Kazlų Rūdos sav.</t>
  </si>
  <si>
    <t>Kėdainių r. sav.</t>
  </si>
  <si>
    <t>Kelmės r. sav.</t>
  </si>
  <si>
    <t>Klaipėdos m. sav.</t>
  </si>
  <si>
    <t>Klaipėdos r. sav.</t>
  </si>
  <si>
    <t>Kretingos r. sav.</t>
  </si>
  <si>
    <t>Kupiškio r. sav.</t>
  </si>
  <si>
    <t>Lazdijų r. sav.</t>
  </si>
  <si>
    <t>Marijampolės sav.</t>
  </si>
  <si>
    <t>Mažeikių r. sav.</t>
  </si>
  <si>
    <t>Molėtų r. sav.</t>
  </si>
  <si>
    <t>Neringos sav.</t>
  </si>
  <si>
    <t>Pagėgių sav.</t>
  </si>
  <si>
    <t>Pakruojo r. sav.</t>
  </si>
  <si>
    <t>Palangos m. sav.</t>
  </si>
  <si>
    <t>Panevėžio m. sav.</t>
  </si>
  <si>
    <t>Panevėžio r. sav.</t>
  </si>
  <si>
    <t>Pasvalio r. sav.</t>
  </si>
  <si>
    <t>Plungės r. sav.</t>
  </si>
  <si>
    <t>Prienų r. sav.</t>
  </si>
  <si>
    <t>Radviliškio r. sav.</t>
  </si>
  <si>
    <t>Raseinių r. sav.</t>
  </si>
  <si>
    <t>Rietavo sav.</t>
  </si>
  <si>
    <t>Rokiškio r. sav.</t>
  </si>
  <si>
    <t>Šakių r. sav.</t>
  </si>
  <si>
    <t>Šalčininkų r. sav.</t>
  </si>
  <si>
    <t>Šiaulių m. sav.</t>
  </si>
  <si>
    <t>Šiaulių r. sav.</t>
  </si>
  <si>
    <t>Šilalės r. sav.</t>
  </si>
  <si>
    <t>Šilutės r. sav.</t>
  </si>
  <si>
    <t>Širvintų r. sav.</t>
  </si>
  <si>
    <t>Skuodo r. sav.</t>
  </si>
  <si>
    <t>Švenčionių r. sav.</t>
  </si>
  <si>
    <t>Tauragės r. sav.</t>
  </si>
  <si>
    <t>Telšių r. sav.</t>
  </si>
  <si>
    <t>Trakų r. sav.</t>
  </si>
  <si>
    <t>Ukmergės r. sav.</t>
  </si>
  <si>
    <t>Utenos r. sav.</t>
  </si>
  <si>
    <t>Varėnos r. sav.</t>
  </si>
  <si>
    <t>Vilkaviškio r. sav.</t>
  </si>
  <si>
    <t>Vilniaus m. sav.</t>
  </si>
  <si>
    <t>Vilniaus r. sav.</t>
  </si>
  <si>
    <t>Visagino sav.</t>
  </si>
  <si>
    <t>Zarasų r. sav.</t>
  </si>
  <si>
    <t>Asmens mokėjimai (soc. paslaugoms) -  5 proc. nuo poreikio</t>
  </si>
  <si>
    <r>
      <t>SADM PP - Sukurti tvarią nestacionarios ilgalaikės priežiūros sistemą (</t>
    </r>
    <r>
      <rPr>
        <sz val="9"/>
        <color theme="1"/>
        <rFont val="Calibri"/>
        <family val="2"/>
        <charset val="186"/>
        <scheme val="minor"/>
      </rPr>
      <t>suplanuotos lėšos veiklai ,,Plėtoti tvarią ilgalaikės priežiūros paslaugų asmens namuose sistemą" (integralios pagalbos namuose teikimui),   integralios pagalbos namuose gavėjų iš viso - 6357 gavėjų)</t>
    </r>
  </si>
  <si>
    <t>Asmens mokėjimai (soc. paslaugoms) - 28  proc. nuo poreikio</t>
  </si>
  <si>
    <t>Asmens mokėjimai (soc. paslaugoms) - 25 proc. nuo poreikio</t>
  </si>
  <si>
    <t>Papildomų lėšų poreikis lyginant su reformos nevykdymu</t>
  </si>
  <si>
    <t>Augimas lyginant su 2023 m. poreikiu</t>
  </si>
  <si>
    <t>Slaugos ir socialinių paslaugų teikimas skirtingose valdymo sistemose (status quo), paslaugų plėtrą vystant suplanuotomis investicijomis.</t>
  </si>
  <si>
    <t>I</t>
  </si>
  <si>
    <t>II</t>
  </si>
  <si>
    <t>III</t>
  </si>
  <si>
    <t>IV</t>
  </si>
  <si>
    <t>ALTERNATYVOS</t>
  </si>
  <si>
    <t>Pilna slaugos ir socialinių paslaugų integracija apimant ambulatorines ir stacionarines paslaugas, nustatant naują IPP finansavimo ir IPP kompensavimo sistemą (ilgalaikė priežiūra pilnai finansuojama iš valstybės biudžeto).</t>
  </si>
  <si>
    <t>Dalinė slaugos ir socialinių paslaugų integracija, apimanti tik IPP teikimą stacionare.</t>
  </si>
  <si>
    <t>Pilna slaugos ir socialinių paslaugų integracija apimant ambulatorines ir stacionarines paslaugas, nustatant naują IPP finansavimo ir koordinavimo sistemą.</t>
  </si>
  <si>
    <t>Valstybės biudžeto lėšos</t>
  </si>
  <si>
    <t>IPP gavėjų skaičius</t>
  </si>
  <si>
    <t>3 ALTERNATYVAI ĮGYVENDINTI REIKALINGŲ LĖŠŲ IR REFORMOS NEVYKDYMO (DABARTINĖS SISTEMOS IŠLAIKYMO) LĖŠŲ PALYGINIMAS</t>
  </si>
  <si>
    <t>Iš jų:</t>
  </si>
  <si>
    <t xml:space="preserve">Viso 2023 </t>
  </si>
  <si>
    <t>Viso 2026</t>
  </si>
  <si>
    <t>3 metų pokytis</t>
  </si>
  <si>
    <t xml:space="preserve"> </t>
  </si>
  <si>
    <t>Maksimali gulėjimo trukmė mėn.</t>
  </si>
  <si>
    <t>Vieno paciento kaina mėn.</t>
  </si>
  <si>
    <r>
      <t xml:space="preserve">Reiklaingos lėšos </t>
    </r>
    <r>
      <rPr>
        <b/>
        <sz val="10"/>
        <color rgb="FF000000"/>
        <rFont val="Calibri"/>
        <family val="2"/>
        <charset val="186"/>
      </rPr>
      <t>be reformos</t>
    </r>
  </si>
  <si>
    <t>Suplanuotos investicijos:</t>
  </si>
  <si>
    <t xml:space="preserve">Dienos centrai (modernizuotuose 47 dienos centruose suformuotos bus 470 vietų  (SAM ir regioninė priemonės); įtranga ir transporto priemonės mobilioms komandoms; spacialistų mokymai </t>
  </si>
  <si>
    <t>Lovos kaina per metus (vnt.)*</t>
  </si>
  <si>
    <t>*Slaugos lovos išlaikymo kaina metams buvo apskaičiuota pagal tai, kiek viso lovų, už kurias sumokėjo PSDF (5 587 lovos), buvo skirta slaugai, ir kokios buvo metinės išlaidos už šias lovas (83 765 500 Eur). Atkreiptinas dėmesys, kad įstaigose pačių lovų yra diaugiau (6 165), ne už visas jas PSDF moka.</t>
  </si>
  <si>
    <t>Toliau finansuojamas ne integralus ir nekoordinuotas paslaugų teikimas asmenims su IPP poreikiais. Integruotų paslaugų plėtra vykdoma per SADM pažangos priemonę; SAM ir regionų pažangos priemonių investicijomis didinamas vietų skaičius dienos centruose; stacionarinė slauga teikiama be pokyčių. Alternatyvai vertinti skaičiuojamas išimtinai IPP (t.y. integruotų paslaugų) gavėjų skaičius.</t>
  </si>
  <si>
    <t>Toliau finansuojamas ne integralus ir nekoordinuotas paslaugų teikimas asmenims su IPP poreikiais.  Integruotų paslaugų plėtra vykdoma per SADM pažangos priemonę; SAM ir regionų pažangos priemonių investicijomis didinamas vietų skaičius dienos centruose; dalis stacionarinės slaugos lovų perduodamos IPP namams kurti; koreguojama maksimali gulėjimo ligoninėje dėl slaugos trukmė. Alternatyvai vertinti skaičiuojamas išimtinai IPP (t.y. integruotų paslaugų) gavėjų skaičius.</t>
  </si>
  <si>
    <t>Integruojamos ir plečiamos ambulatorinės slaugos ir socialinės paslaugos; didinamas gavėjų skaičius; SAM ir regionų pažangos priemonių investicijomis didinamas vietų skaičius dienos centruose; dalis stacionarinės slaugos lovų perduodamos IPP namams kurti; koreguojama maksimali gulėjimo ligoninėje dėl slaugos trukmė; įvedama koordinatoriaus pareigybė savivaldybėse. Alternatyvai vertinti skaičiuojamas išimtinai IPP (t.y. integruotų paslaugų) gavėjų skaičius.</t>
  </si>
  <si>
    <t>Integruojamos ir plečiamos ambulatorinės slaugos ir socialinės paslaugos; didinamas gavėjų skaičius; SAM ir regionų pažangos priemonių investicijomis didinamas vietų skaičius dienos centruose; dalis stacionarinės slaugos lovų IPP namams kurti; koreguojama maksimali gulėjimo ligoninėje dėl slaugos trukmė; įvedama koordinatoriaus pareigybė savivaldybėse; panaikinami asmens mokėjimai. Alternatyvai vertinti skaičiuojamas išimtinai IPP (t.y. integruotų paslaugų) gavėjų skaičius.</t>
  </si>
  <si>
    <t>Papildomas poreikis lyginant su 2023</t>
  </si>
  <si>
    <t>Valstybės* biudžeto lėšos</t>
  </si>
  <si>
    <t>*</t>
  </si>
  <si>
    <r>
      <t xml:space="preserve">Daroma prielaida, kad ambulatorinių paslaugų namuose plėtra bus vykdoma įgyvendinant SADM pažangos priemonę, pagal kurią numatytą plėtoti integralią pagalbą. Iš viso suplanuota, kad integralios pagalbos paslaugas gaunančių  unikalių gavėjų skaičius - 6 357 asmenys. Planuojama, kad per metus integralios pagalbas paslaugas gaus 2055 asmenys.
SAM ir regionų investicijomis bus modernizuojamos dienos socialinę globą teikiančios įstaigos; papildomai (šiuo metu yra 2800 vietų) bus įsteigta 470 vietų IPP dienos paslaugoms. Stacionarinė slauga išliks nepakitusi.
Pagal šią alternatyvą per laikotarpį nuo 2023 iki 2026 m.  bendras slaugos ir socialinių paslaugų gavėjų skaičius padidėtų 350 asmenimis.Valstybės biudžeto lėšų poreikis augtų 13 mln. eurų. Augimui įtaką darytų didėjantis vietų skaičius dienos centruose; mažėjančios gyventojų įmokos. Pažymėtina, kad VB lėšų poreikis būtų reikšmingai didesnis, tačiau nuo 2023 metų integralios pagalbos paslaugos didele apimti bus apmokamos ES 2021-2027 m. struktūrinių fondų lėšomis. Iš viso per 2023-2026 metų laikotarpį integralios pagalbos namuose poreikiams suplanuota 36.064.725 eurai.
</t>
    </r>
    <r>
      <rPr>
        <b/>
        <sz val="11"/>
        <color theme="1"/>
        <rFont val="Calibri"/>
        <family val="2"/>
        <charset val="186"/>
        <scheme val="minor"/>
      </rPr>
      <t>Šios alternatyvos ekonominės naudos ir išlaidų santykis 0,85.</t>
    </r>
    <r>
      <rPr>
        <sz val="11"/>
        <color theme="1"/>
        <rFont val="Calibri"/>
        <family val="2"/>
        <charset val="186"/>
        <scheme val="minor"/>
      </rPr>
      <t xml:space="preserve">
</t>
    </r>
  </si>
  <si>
    <r>
      <t xml:space="preserve">Daroma prielaida, kad ambulatorinių paslaugų namuose plėtra bus vykdoma įgyvendinant SADM pažangos priemonę, pagal kurią numatytą plėtoti integralią pagalbą. Iš viso suplanuota, kad integralios pagalbos paslaugas gaunančių  unikalių gavėjų skaičius - 6 357 asmenys. Planuojama, kad per metus integralios pagalbas paslaugas gaus 2055 asmenys.
SAM ir regionų investicijomis bus modernizuojamos dienos socialinę globą teikiančios įstaigos; papildomai (šiuo metu yra 2 800 vietų) bus įsteigta 470 vietų IPP dienos paslaugoms. 
Pertvarkoma stacionarinė slauga - dalis slaugos ligoninių (1 867 lovos) konvertuojamos į globos įstaigas. Likusiose aktyvaus gydymo įstaigose esančiose slaugos lovose (4 298) etapais trumpinama maksimali gulėjimo trukmė nuo 120 dienų iki 60 dienų. 
Pagal šią alternatyvą per laikotarpį nuo 2023 iki 2026 m.  bendras slaugos ir socialinių paslaugų gavėjų skaičius padidėtų 2417 asmenimis. Valstybės biudžeto lėšų poreikis augtų 38 mln. eurų; Pažymėtina, kad VB lėšų poreikis būtų reikšmingai didesnis, tačiau nuo 2023 metų integralios pagalbos paslaugos didele apimti bus apmokamos ES 2021-2027 m. struktūrinių fondų lėšomis. Iš viso per 2023-2026 metų laikotarpį integralios pagalbos namuose poreikiams suplanuota 36.064.725 eurai. Asmenų  įmokos didėtų nežymiai; PSDF lėšų poreikis stacionarinei slaugai sumažėtų 19 mln. eurų. 
</t>
    </r>
    <r>
      <rPr>
        <b/>
        <sz val="11"/>
        <color theme="1"/>
        <rFont val="Calibri"/>
        <family val="2"/>
        <charset val="186"/>
        <scheme val="minor"/>
      </rPr>
      <t>Šios alternatyvos ekonominės naudos ir išlaidų santykis 0,92.</t>
    </r>
    <r>
      <rPr>
        <sz val="11"/>
        <color theme="1"/>
        <rFont val="Calibri"/>
        <family val="2"/>
        <charset val="186"/>
        <scheme val="minor"/>
      </rPr>
      <t xml:space="preserve">
</t>
    </r>
  </si>
  <si>
    <r>
      <t xml:space="preserve">Daroma prielaida, kad ambulatorinių paslaugų namuose plėtra bus vykdoma intensyviai, didinant ambulatorinių slaugos paslaugų gavėjų, kurie šiuo metu gauna socialines paslaugas, skaičių; taip pat įgyvendinant SADM pažangos priemonę, pagal kurią numatytą plėtoti integralią pagalbą. Iš viso suplanuotas gavėjų skaičius - 22 000 asmenys.
SAM ir regionų investicijomis bus modernizuojamos dienos socialinę globą teikiančios įstaigos; papildomai (šiuo metu yra 2 800 vietų) bus įsteigta 470 vietų IPP dienos paslaugoms. 
Pertvarkoma stacionarinė slauga - dalis slaugos ligoninių (1 867 lovos) konvertuojamos į globos įstaigas. Likusiose aktyvaus gydymo įstaigose esančiose slaugos lovose (4298) etapais trumpinama maksimali gulėjimo trukmė nuo 120 dienų iki 60 dienų. 
Įteisinama IPP paslaugų koordinatoriaus savivaldybėje pareigybė; įtvirtinama SPPD akreditavimo funkcija.
Pagal šią alternatyvą per laikotarpį nuo 2023 iki 2026 m.  bendras slaugos ir socialinių paslaugų gavėjų skaičius padidėtų 5 217 asmenimis (tačiau startuojama būtų iš karto su  36 184 gavėjais - dvigubai daugiau nei I-oje ir II-oje alternatyvose). Valstybės biudžeto lėšų poreikis augtų 46 mln. eurų; Pažymėtina, kad VB lėšų poreikis būtų reikšmingai didesnis, tačiau nuo 2023 metų integralios pagalbos paslaugos didele apimti bus apmokamos ES 2021-2027 m. struktūrinių fondų lėšomis. Iš viso per 2023-2026 metų laikotarpį integralios pagalbos namuose poreikiams suplanuota 36.064.725 eurai. Asmenų  įmokos mažėtų  372 tūkst. eurų ; PSDF lėšų poreikis sumažėtų 9 mln. eurų. 
</t>
    </r>
    <r>
      <rPr>
        <b/>
        <sz val="11"/>
        <color theme="1"/>
        <rFont val="Calibri"/>
        <family val="2"/>
        <charset val="186"/>
        <scheme val="minor"/>
      </rPr>
      <t>Šios alternatyvos ekonominės naudos ir išlaidų santykis 1,82.</t>
    </r>
    <r>
      <rPr>
        <sz val="11"/>
        <color theme="1"/>
        <rFont val="Calibri"/>
        <family val="2"/>
        <charset val="186"/>
        <scheme val="minor"/>
      </rPr>
      <t xml:space="preserve">
</t>
    </r>
  </si>
  <si>
    <r>
      <t xml:space="preserve">Analogiška kaip III alternatyva. Skirtumas tik kad būtų atsisakoma asmens finansinio prisidėjimo.
Tuomet Valstybės biudžeto lėšų poreikis augtų 113 mln. eurų; asmenų  įmokos mažėtų  71 mln. eurų; PSDF lėšų poreikis  sumažėtų 9 mln. eurų. 
</t>
    </r>
    <r>
      <rPr>
        <b/>
        <sz val="11"/>
        <color theme="1"/>
        <rFont val="Calibri"/>
        <family val="2"/>
        <charset val="186"/>
        <scheme val="minor"/>
      </rPr>
      <t>Šios alternatyvos ekonominės naudos ir išlaidų santykis 1,82.</t>
    </r>
    <r>
      <rPr>
        <sz val="11"/>
        <color theme="1"/>
        <rFont val="Calibri"/>
        <family val="2"/>
        <charset val="186"/>
        <scheme val="minor"/>
      </rPr>
      <t xml:space="preserve">
</t>
    </r>
  </si>
  <si>
    <t>VB lėšų poreikis pateiktas atėmus ES struktūrinės paramos lėšas skirtas inegraliai pagalbai. Iš viso per 2023-2026 m. laikotarpį suplanuota 36.064.725 eurai.</t>
  </si>
  <si>
    <t>ES struktūrinės paramos lėšos</t>
  </si>
  <si>
    <t>Lėšų poreikis (be ES struktūrinės paramos)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</si>
</sst>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quot;"/>
    <numFmt numFmtId="165" formatCode="#,##0.00\ &quot;€&quot;"/>
  </numFmts>
  <fonts count="46" x14ac:knownFonts="1">
    <font>
      <sz val="11"/>
      <color theme="1"/>
      <name val="Calibri"/>
      <family val="2"/>
      <charset val="186"/>
      <scheme val="minor"/>
    </font>
    <font>
      <sz val="11"/>
      <color theme="1"/>
      <name val="Calibri"/>
      <family val="2"/>
      <charset val="186"/>
      <scheme val="minor"/>
    </font>
    <font>
      <b/>
      <sz val="11"/>
      <color theme="1"/>
      <name val="Calibri"/>
      <family val="2"/>
      <charset val="186"/>
      <scheme val="minor"/>
    </font>
    <font>
      <sz val="9"/>
      <color theme="1"/>
      <name val="Calibri"/>
      <family val="2"/>
      <charset val="186"/>
      <scheme val="minor"/>
    </font>
    <font>
      <b/>
      <sz val="10"/>
      <color rgb="FF000000"/>
      <name val="Calibri"/>
      <family val="2"/>
      <charset val="186"/>
    </font>
    <font>
      <b/>
      <sz val="10"/>
      <color theme="1"/>
      <name val="Calibri"/>
      <family val="2"/>
      <charset val="186"/>
    </font>
    <font>
      <sz val="11"/>
      <color theme="1"/>
      <name val="Calibri"/>
      <family val="2"/>
      <charset val="186"/>
    </font>
    <font>
      <b/>
      <sz val="11"/>
      <color theme="1"/>
      <name val="Calibri"/>
      <family val="2"/>
      <charset val="186"/>
    </font>
    <font>
      <b/>
      <sz val="9"/>
      <color theme="1"/>
      <name val="Calibri"/>
      <family val="2"/>
      <charset val="186"/>
    </font>
    <font>
      <sz val="9"/>
      <color theme="1"/>
      <name val="Calibri"/>
      <family val="2"/>
      <charset val="186"/>
    </font>
    <font>
      <i/>
      <sz val="9"/>
      <color theme="1"/>
      <name val="Calibri"/>
      <family val="2"/>
      <charset val="186"/>
    </font>
    <font>
      <i/>
      <sz val="11"/>
      <color theme="1"/>
      <name val="Calibri"/>
      <family val="2"/>
      <charset val="186"/>
    </font>
    <font>
      <sz val="10"/>
      <color theme="1"/>
      <name val="Calibri"/>
      <family val="2"/>
      <charset val="186"/>
    </font>
    <font>
      <b/>
      <i/>
      <sz val="9"/>
      <color rgb="FF0070C0"/>
      <name val="Calibri"/>
      <family val="2"/>
      <charset val="186"/>
    </font>
    <font>
      <sz val="10"/>
      <color rgb="FFFF0000"/>
      <name val="Calibri"/>
      <family val="2"/>
      <charset val="186"/>
    </font>
    <font>
      <b/>
      <i/>
      <sz val="10"/>
      <color theme="4" tint="-0.249977111117893"/>
      <name val="Calibri"/>
      <family val="2"/>
      <charset val="186"/>
    </font>
    <font>
      <b/>
      <sz val="10"/>
      <name val="Calibri"/>
      <family val="2"/>
      <charset val="186"/>
    </font>
    <font>
      <i/>
      <sz val="10"/>
      <color theme="1"/>
      <name val="Calibri"/>
      <family val="2"/>
      <charset val="186"/>
    </font>
    <font>
      <sz val="10"/>
      <name val="Calibri"/>
      <family val="2"/>
      <charset val="186"/>
    </font>
    <font>
      <b/>
      <sz val="12"/>
      <color theme="1"/>
      <name val="Calibri"/>
      <family val="2"/>
      <charset val="186"/>
    </font>
    <font>
      <sz val="12"/>
      <color theme="1"/>
      <name val="Calibri"/>
      <family val="2"/>
      <charset val="186"/>
    </font>
    <font>
      <b/>
      <sz val="12"/>
      <color rgb="FF000000"/>
      <name val="Calibri"/>
      <family val="2"/>
      <charset val="186"/>
    </font>
    <font>
      <sz val="9"/>
      <color rgb="FF0070C0"/>
      <name val="Calibri"/>
      <family val="2"/>
      <charset val="186"/>
    </font>
    <font>
      <b/>
      <i/>
      <sz val="9"/>
      <color theme="1"/>
      <name val="Calibri"/>
      <family val="2"/>
      <charset val="186"/>
    </font>
    <font>
      <b/>
      <sz val="9"/>
      <color rgb="FFFF0000"/>
      <name val="Calibri"/>
      <family val="2"/>
      <charset val="186"/>
    </font>
    <font>
      <b/>
      <sz val="9"/>
      <color rgb="FF000000"/>
      <name val="Calibri"/>
      <family val="2"/>
      <charset val="186"/>
    </font>
    <font>
      <i/>
      <sz val="9"/>
      <color rgb="FF0070C0"/>
      <name val="Calibri"/>
      <family val="2"/>
      <charset val="186"/>
    </font>
    <font>
      <sz val="9"/>
      <color rgb="FF000000"/>
      <name val="Calibri"/>
      <family val="2"/>
      <charset val="186"/>
    </font>
    <font>
      <b/>
      <sz val="14"/>
      <color theme="1"/>
      <name val="Calibri"/>
      <family val="2"/>
      <charset val="186"/>
    </font>
    <font>
      <sz val="9"/>
      <color rgb="FF404040"/>
      <name val="Calibri"/>
      <family val="2"/>
      <charset val="186"/>
    </font>
    <font>
      <b/>
      <sz val="11"/>
      <color rgb="FF404040"/>
      <name val="Calibri"/>
      <family val="2"/>
      <charset val="186"/>
    </font>
    <font>
      <b/>
      <sz val="18"/>
      <color theme="1"/>
      <name val="Calibri"/>
      <family val="2"/>
      <charset val="186"/>
    </font>
    <font>
      <sz val="10"/>
      <color rgb="FF404040"/>
      <name val="Calibri"/>
      <family val="2"/>
      <charset val="186"/>
    </font>
    <font>
      <i/>
      <sz val="10"/>
      <color rgb="FF404040"/>
      <name val="Calibri"/>
      <family val="2"/>
      <charset val="186"/>
    </font>
    <font>
      <sz val="10"/>
      <color rgb="FF000000"/>
      <name val="Calibri"/>
      <family val="2"/>
      <charset val="186"/>
    </font>
    <font>
      <sz val="11"/>
      <color rgb="FF444444"/>
      <name val="Calibri"/>
      <family val="2"/>
      <charset val="1"/>
    </font>
    <font>
      <sz val="8"/>
      <color rgb="FF0070C0"/>
      <name val="Calibri"/>
      <family val="2"/>
      <charset val="186"/>
    </font>
    <font>
      <b/>
      <sz val="14"/>
      <name val="Calibri"/>
      <family val="2"/>
      <charset val="186"/>
    </font>
    <font>
      <sz val="18"/>
      <color theme="0"/>
      <name val="Calibri"/>
      <family val="2"/>
      <charset val="186"/>
      <scheme val="minor"/>
    </font>
    <font>
      <b/>
      <sz val="18"/>
      <color theme="0"/>
      <name val="Calibri"/>
      <family val="2"/>
      <charset val="186"/>
    </font>
    <font>
      <b/>
      <i/>
      <sz val="11"/>
      <color theme="1"/>
      <name val="Calibri"/>
      <family val="2"/>
      <charset val="186"/>
    </font>
    <font>
      <b/>
      <i/>
      <sz val="11"/>
      <color theme="1"/>
      <name val="Calibri"/>
      <family val="2"/>
      <charset val="186"/>
      <scheme val="minor"/>
    </font>
    <font>
      <i/>
      <sz val="11"/>
      <color theme="1"/>
      <name val="Calibri"/>
      <family val="2"/>
      <charset val="186"/>
      <scheme val="minor"/>
    </font>
    <font>
      <b/>
      <sz val="11"/>
      <color theme="4"/>
      <name val="Calibri"/>
      <family val="2"/>
      <charset val="186"/>
      <scheme val="minor"/>
    </font>
    <font>
      <b/>
      <i/>
      <sz val="11"/>
      <color theme="4"/>
      <name val="Calibri"/>
      <family val="2"/>
      <charset val="186"/>
      <scheme val="minor"/>
    </font>
    <font>
      <sz val="11"/>
      <color theme="4"/>
      <name val="Calibri"/>
      <family val="2"/>
      <charset val="186"/>
      <scheme val="minor"/>
    </font>
  </fonts>
  <fills count="18">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8" tint="0.39997558519241921"/>
        <bgColor indexed="64"/>
      </patternFill>
    </fill>
    <fill>
      <patternFill patternType="solid">
        <fgColor rgb="FFDDEBF7"/>
        <bgColor indexed="64"/>
      </patternFill>
    </fill>
    <fill>
      <patternFill patternType="solid">
        <fgColor rgb="FFD9D9D9"/>
        <bgColor indexed="64"/>
      </patternFill>
    </fill>
    <fill>
      <patternFill patternType="solid">
        <fgColor rgb="FF404040"/>
        <bgColor indexed="64"/>
      </patternFill>
    </fill>
    <fill>
      <patternFill patternType="solid">
        <fgColor rgb="FFFFF2CC"/>
        <bgColor indexed="64"/>
      </patternFill>
    </fill>
    <fill>
      <patternFill patternType="solid">
        <fgColor rgb="FFA9D08E"/>
        <bgColor indexed="64"/>
      </patternFill>
    </fill>
    <fill>
      <patternFill patternType="solid">
        <fgColor rgb="FFF2F2F2"/>
        <bgColor indexed="64"/>
      </patternFill>
    </fill>
    <fill>
      <patternFill patternType="solid">
        <fgColor rgb="FFE2EFDA"/>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theme="0" tint="-0.14999847407452621"/>
        <bgColor indexed="64"/>
      </patternFill>
    </fill>
    <fill>
      <patternFill patternType="solid">
        <fgColor theme="2"/>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404040"/>
      </left>
      <right style="thin">
        <color rgb="FF404040"/>
      </right>
      <top style="thin">
        <color rgb="FF404040"/>
      </top>
      <bottom style="thin">
        <color rgb="FF404040"/>
      </bottom>
      <diagonal/>
    </border>
    <border>
      <left style="thin">
        <color rgb="FF404040"/>
      </left>
      <right style="thin">
        <color rgb="FF404040"/>
      </right>
      <top style="thin">
        <color rgb="FF404040"/>
      </top>
      <bottom/>
      <diagonal/>
    </border>
    <border>
      <left style="thin">
        <color rgb="FF404040"/>
      </left>
      <right/>
      <top style="thin">
        <color rgb="FF404040"/>
      </top>
      <bottom style="thin">
        <color rgb="FF404040"/>
      </bottom>
      <diagonal/>
    </border>
    <border>
      <left/>
      <right/>
      <top/>
      <bottom style="thin">
        <color rgb="FF404040"/>
      </bottom>
      <diagonal/>
    </border>
    <border>
      <left style="thin">
        <color rgb="FF404040"/>
      </left>
      <right style="thin">
        <color rgb="FF404040"/>
      </right>
      <top/>
      <bottom/>
      <diagonal/>
    </border>
    <border>
      <left style="thin">
        <color rgb="FF404040"/>
      </left>
      <right style="thin">
        <color rgb="FF404040"/>
      </right>
      <top/>
      <bottom style="thin">
        <color rgb="FF404040"/>
      </bottom>
      <diagonal/>
    </border>
    <border>
      <left style="medium">
        <color rgb="FF404040"/>
      </left>
      <right style="thin">
        <color rgb="FF404040"/>
      </right>
      <top style="medium">
        <color rgb="FF404040"/>
      </top>
      <bottom style="thin">
        <color rgb="FF404040"/>
      </bottom>
      <diagonal/>
    </border>
    <border>
      <left style="thin">
        <color rgb="FF404040"/>
      </left>
      <right style="thin">
        <color rgb="FF404040"/>
      </right>
      <top style="medium">
        <color rgb="FF404040"/>
      </top>
      <bottom style="thin">
        <color rgb="FF404040"/>
      </bottom>
      <diagonal/>
    </border>
    <border>
      <left/>
      <right/>
      <top style="medium">
        <color rgb="FF404040"/>
      </top>
      <bottom style="thin">
        <color indexed="64"/>
      </bottom>
      <diagonal/>
    </border>
    <border>
      <left style="thin">
        <color rgb="FF000000"/>
      </left>
      <right style="thin">
        <color rgb="FF000000"/>
      </right>
      <top style="medium">
        <color rgb="FF404040"/>
      </top>
      <bottom style="thin">
        <color rgb="FF000000"/>
      </bottom>
      <diagonal/>
    </border>
    <border>
      <left/>
      <right style="thin">
        <color indexed="64"/>
      </right>
      <top style="medium">
        <color rgb="FF404040"/>
      </top>
      <bottom style="thin">
        <color indexed="64"/>
      </bottom>
      <diagonal/>
    </border>
    <border>
      <left style="thin">
        <color indexed="64"/>
      </left>
      <right style="thin">
        <color indexed="64"/>
      </right>
      <top style="medium">
        <color rgb="FF404040"/>
      </top>
      <bottom style="thin">
        <color indexed="64"/>
      </bottom>
      <diagonal/>
    </border>
    <border>
      <left style="thin">
        <color indexed="64"/>
      </left>
      <right style="medium">
        <color rgb="FF404040"/>
      </right>
      <top style="medium">
        <color rgb="FF404040"/>
      </top>
      <bottom style="thin">
        <color indexed="64"/>
      </bottom>
      <diagonal/>
    </border>
    <border>
      <left style="medium">
        <color rgb="FF404040"/>
      </left>
      <right style="thin">
        <color rgb="FF404040"/>
      </right>
      <top style="thin">
        <color rgb="FF404040"/>
      </top>
      <bottom style="thin">
        <color rgb="FF404040"/>
      </bottom>
      <diagonal/>
    </border>
    <border>
      <left style="thin">
        <color indexed="64"/>
      </left>
      <right style="medium">
        <color rgb="FF404040"/>
      </right>
      <top style="thin">
        <color indexed="64"/>
      </top>
      <bottom style="thin">
        <color indexed="64"/>
      </bottom>
      <diagonal/>
    </border>
    <border>
      <left style="medium">
        <color rgb="FF404040"/>
      </left>
      <right style="thin">
        <color rgb="FF404040"/>
      </right>
      <top style="thin">
        <color rgb="FF404040"/>
      </top>
      <bottom style="medium">
        <color rgb="FF404040"/>
      </bottom>
      <diagonal/>
    </border>
    <border>
      <left style="thin">
        <color rgb="FF404040"/>
      </left>
      <right style="thin">
        <color rgb="FF404040"/>
      </right>
      <top style="thin">
        <color rgb="FF404040"/>
      </top>
      <bottom style="medium">
        <color rgb="FF404040"/>
      </bottom>
      <diagonal/>
    </border>
    <border>
      <left/>
      <right/>
      <top style="thin">
        <color indexed="64"/>
      </top>
      <bottom style="medium">
        <color rgb="FF404040"/>
      </bottom>
      <diagonal/>
    </border>
    <border>
      <left style="thin">
        <color rgb="FF000000"/>
      </left>
      <right/>
      <top style="thin">
        <color rgb="FF000000"/>
      </top>
      <bottom style="medium">
        <color rgb="FF404040"/>
      </bottom>
      <diagonal/>
    </border>
    <border>
      <left/>
      <right/>
      <top style="thin">
        <color rgb="FF000000"/>
      </top>
      <bottom style="medium">
        <color rgb="FF404040"/>
      </bottom>
      <diagonal/>
    </border>
    <border>
      <left/>
      <right style="thin">
        <color rgb="FF000000"/>
      </right>
      <top style="thin">
        <color rgb="FF000000"/>
      </top>
      <bottom style="medium">
        <color rgb="FF404040"/>
      </bottom>
      <diagonal/>
    </border>
    <border>
      <left/>
      <right/>
      <top/>
      <bottom style="medium">
        <color rgb="FF404040"/>
      </bottom>
      <diagonal/>
    </border>
    <border>
      <left/>
      <right style="thin">
        <color indexed="64"/>
      </right>
      <top/>
      <bottom style="medium">
        <color rgb="FF404040"/>
      </bottom>
      <diagonal/>
    </border>
    <border>
      <left style="thin">
        <color indexed="64"/>
      </left>
      <right style="thin">
        <color indexed="64"/>
      </right>
      <top/>
      <bottom style="medium">
        <color rgb="FF404040"/>
      </bottom>
      <diagonal/>
    </border>
    <border>
      <left style="thin">
        <color indexed="64"/>
      </left>
      <right style="thin">
        <color indexed="64"/>
      </right>
      <top style="thin">
        <color indexed="64"/>
      </top>
      <bottom style="medium">
        <color rgb="FF404040"/>
      </bottom>
      <diagonal/>
    </border>
    <border>
      <left style="thin">
        <color indexed="64"/>
      </left>
      <right/>
      <top style="thin">
        <color indexed="64"/>
      </top>
      <bottom style="medium">
        <color rgb="FF404040"/>
      </bottom>
      <diagonal/>
    </border>
    <border>
      <left/>
      <right style="medium">
        <color rgb="FF404040"/>
      </right>
      <top style="thin">
        <color indexed="64"/>
      </top>
      <bottom style="medium">
        <color rgb="FF404040"/>
      </bottom>
      <diagonal/>
    </border>
    <border>
      <left style="thin">
        <color rgb="FF404040"/>
      </left>
      <right/>
      <top/>
      <bottom style="thin">
        <color rgb="FF404040"/>
      </bottom>
      <diagonal/>
    </border>
    <border>
      <left/>
      <right/>
      <top style="medium">
        <color rgb="FF404040"/>
      </top>
      <bottom style="thin">
        <color rgb="FF000000"/>
      </bottom>
      <diagonal/>
    </border>
    <border>
      <left/>
      <right style="thin">
        <color rgb="FF000000"/>
      </right>
      <top style="medium">
        <color rgb="FF404040"/>
      </top>
      <bottom style="thin">
        <color rgb="FF000000"/>
      </bottom>
      <diagonal/>
    </border>
    <border>
      <left style="thin">
        <color rgb="FF404040"/>
      </left>
      <right/>
      <top style="thin">
        <color rgb="FF404040"/>
      </top>
      <bottom style="medium">
        <color rgb="FF404040"/>
      </bottom>
      <diagonal/>
    </border>
    <border>
      <left style="medium">
        <color rgb="FF404040"/>
      </left>
      <right style="thin">
        <color rgb="FF404040"/>
      </right>
      <top style="thin">
        <color rgb="FF404040"/>
      </top>
      <bottom/>
      <diagonal/>
    </border>
    <border>
      <left/>
      <right style="thin">
        <color rgb="FF000000"/>
      </right>
      <top style="thin">
        <color rgb="FF000000"/>
      </top>
      <bottom/>
      <diagonal/>
    </border>
    <border>
      <left/>
      <right style="medium">
        <color rgb="FF404040"/>
      </right>
      <top style="thin">
        <color indexed="64"/>
      </top>
      <bottom/>
      <diagonal/>
    </border>
    <border>
      <left style="thin">
        <color rgb="FF404040"/>
      </left>
      <right/>
      <top style="thin">
        <color rgb="FF404040"/>
      </top>
      <bottom/>
      <diagonal/>
    </border>
    <border>
      <left/>
      <right style="thin">
        <color indexed="64"/>
      </right>
      <top style="medium">
        <color rgb="FF404040"/>
      </top>
      <bottom/>
      <diagonal/>
    </border>
    <border>
      <left style="thin">
        <color indexed="64"/>
      </left>
      <right style="thin">
        <color indexed="64"/>
      </right>
      <top style="medium">
        <color rgb="FF404040"/>
      </top>
      <bottom/>
      <diagonal/>
    </border>
    <border>
      <left style="medium">
        <color rgb="FF404040"/>
      </left>
      <right style="thin">
        <color rgb="FF404040"/>
      </right>
      <top/>
      <bottom style="thin">
        <color rgb="FF404040"/>
      </bottom>
      <diagonal/>
    </border>
    <border>
      <left style="thin">
        <color rgb="FF404040"/>
      </left>
      <right style="medium">
        <color rgb="FF404040"/>
      </right>
      <top style="medium">
        <color rgb="FF404040"/>
      </top>
      <bottom style="thin">
        <color rgb="FF404040"/>
      </bottom>
      <diagonal/>
    </border>
    <border>
      <left style="thin">
        <color rgb="FF404040"/>
      </left>
      <right style="medium">
        <color rgb="FF404040"/>
      </right>
      <top style="thin">
        <color rgb="FF404040"/>
      </top>
      <bottom style="thin">
        <color rgb="FF404040"/>
      </bottom>
      <diagonal/>
    </border>
    <border>
      <left style="thin">
        <color rgb="FF404040"/>
      </left>
      <right style="medium">
        <color rgb="FF404040"/>
      </right>
      <top style="thin">
        <color rgb="FF404040"/>
      </top>
      <bottom style="medium">
        <color rgb="FF404040"/>
      </bottom>
      <diagonal/>
    </border>
    <border>
      <left style="thin">
        <color rgb="FF404040"/>
      </left>
      <right style="medium">
        <color rgb="FF404040"/>
      </right>
      <top style="thin">
        <color rgb="FF404040"/>
      </top>
      <bottom/>
      <diagonal/>
    </border>
    <border>
      <left style="medium">
        <color rgb="FF404040"/>
      </left>
      <right/>
      <top style="medium">
        <color rgb="FF404040"/>
      </top>
      <bottom/>
      <diagonal/>
    </border>
    <border>
      <left/>
      <right style="thin">
        <color rgb="FF404040"/>
      </right>
      <top style="medium">
        <color rgb="FF404040"/>
      </top>
      <bottom/>
      <diagonal/>
    </border>
    <border>
      <left style="medium">
        <color rgb="FF404040"/>
      </left>
      <right/>
      <top/>
      <bottom/>
      <diagonal/>
    </border>
    <border>
      <left/>
      <right style="thin">
        <color rgb="FF404040"/>
      </right>
      <top/>
      <bottom/>
      <diagonal/>
    </border>
    <border>
      <left style="medium">
        <color rgb="FF404040"/>
      </left>
      <right/>
      <top/>
      <bottom style="medium">
        <color rgb="FF404040"/>
      </bottom>
      <diagonal/>
    </border>
    <border>
      <left/>
      <right style="thin">
        <color rgb="FF404040"/>
      </right>
      <top/>
      <bottom style="medium">
        <color rgb="FF404040"/>
      </bottom>
      <diagonal/>
    </border>
    <border>
      <left style="medium">
        <color rgb="FF404040"/>
      </left>
      <right style="thin">
        <color rgb="FF404040"/>
      </right>
      <top style="medium">
        <color rgb="FF404040"/>
      </top>
      <bottom/>
      <diagonal/>
    </border>
    <border>
      <left style="thin">
        <color rgb="FF404040"/>
      </left>
      <right style="thin">
        <color rgb="FF404040"/>
      </right>
      <top/>
      <bottom style="medium">
        <color rgb="FF404040"/>
      </bottom>
      <diagonal/>
    </border>
    <border>
      <left style="thin">
        <color rgb="FF404040"/>
      </left>
      <right style="medium">
        <color rgb="FF404040"/>
      </right>
      <top/>
      <bottom style="thin">
        <color rgb="FF404040"/>
      </bottom>
      <diagonal/>
    </border>
    <border>
      <left/>
      <right style="thin">
        <color rgb="FF404040"/>
      </right>
      <top style="thin">
        <color rgb="FF404040"/>
      </top>
      <bottom style="thin">
        <color rgb="FF404040"/>
      </bottom>
      <diagonal/>
    </border>
    <border>
      <left style="thin">
        <color rgb="FF404040"/>
      </left>
      <right/>
      <top/>
      <bottom/>
      <diagonal/>
    </border>
    <border>
      <left style="thin">
        <color rgb="FF404040"/>
      </left>
      <right style="thin">
        <color rgb="FF404040"/>
      </right>
      <top style="medium">
        <color rgb="FF404040"/>
      </top>
      <bottom/>
      <diagonal/>
    </border>
    <border>
      <left style="thin">
        <color rgb="FF404040"/>
      </left>
      <right/>
      <top style="medium">
        <color rgb="FF404040"/>
      </top>
      <bottom/>
      <diagonal/>
    </border>
    <border>
      <left/>
      <right style="thin">
        <color rgb="FF404040"/>
      </right>
      <top style="medium">
        <color rgb="FF404040"/>
      </top>
      <bottom style="thin">
        <color rgb="FF404040"/>
      </bottom>
      <diagonal/>
    </border>
    <border>
      <left/>
      <right style="thin">
        <color rgb="FF404040"/>
      </right>
      <top style="thin">
        <color rgb="FF404040"/>
      </top>
      <bottom/>
      <diagonal/>
    </border>
    <border>
      <left/>
      <right style="thin">
        <color rgb="FF404040"/>
      </right>
      <top/>
      <bottom style="thin">
        <color rgb="FF404040"/>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rgb="FF404040"/>
      </top>
      <bottom style="thin">
        <color indexed="64"/>
      </bottom>
      <diagonal/>
    </border>
    <border>
      <left style="thin">
        <color rgb="FF404040"/>
      </left>
      <right/>
      <top style="medium">
        <color rgb="FF404040"/>
      </top>
      <bottom style="thin">
        <color rgb="FF404040"/>
      </bottom>
      <diagonal/>
    </border>
    <border>
      <left style="thin">
        <color rgb="FF000000"/>
      </left>
      <right/>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000000"/>
      </right>
      <top style="thin">
        <color rgb="FF000000"/>
      </top>
      <bottom/>
      <diagonal/>
    </border>
    <border>
      <left style="medium">
        <color indexed="64"/>
      </left>
      <right/>
      <top style="thin">
        <color rgb="FF404040"/>
      </top>
      <bottom style="thin">
        <color rgb="FF404040"/>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rgb="FF404040"/>
      </bottom>
      <diagonal/>
    </border>
    <border>
      <left style="medium">
        <color indexed="64"/>
      </left>
      <right/>
      <top style="thin">
        <color rgb="FF404040"/>
      </top>
      <bottom style="medium">
        <color indexed="64"/>
      </bottom>
      <diagonal/>
    </border>
    <border>
      <left style="medium">
        <color rgb="FF404040"/>
      </left>
      <right style="thin">
        <color rgb="FF404040"/>
      </right>
      <top style="thin">
        <color rgb="FF404040"/>
      </top>
      <bottom style="medium">
        <color indexed="64"/>
      </bottom>
      <diagonal/>
    </border>
    <border>
      <left style="thin">
        <color rgb="FF404040"/>
      </left>
      <right style="thin">
        <color rgb="FF404040"/>
      </right>
      <top style="thin">
        <color rgb="FF404040"/>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style="medium">
        <color indexed="64"/>
      </right>
      <top style="thin">
        <color indexed="64"/>
      </top>
      <bottom style="medium">
        <color rgb="FF404040"/>
      </bottom>
      <diagonal/>
    </border>
    <border>
      <left/>
      <right style="medium">
        <color indexed="64"/>
      </right>
      <top style="medium">
        <color rgb="FF404040"/>
      </top>
      <bottom style="thin">
        <color indexed="64"/>
      </bottom>
      <diagonal/>
    </border>
    <border>
      <left/>
      <right style="medium">
        <color indexed="64"/>
      </right>
      <top style="thin">
        <color indexed="64"/>
      </top>
      <bottom style="thin">
        <color indexed="64"/>
      </bottom>
      <diagonal/>
    </border>
    <border>
      <left style="thin">
        <color rgb="FF000000"/>
      </left>
      <right style="medium">
        <color indexed="64"/>
      </right>
      <top/>
      <bottom/>
      <diagonal/>
    </border>
    <border>
      <left/>
      <right/>
      <top style="medium">
        <color rgb="FF404040"/>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404040"/>
      </right>
      <top style="medium">
        <color rgb="FF404040"/>
      </top>
      <bottom style="thin">
        <color rgb="FF404040"/>
      </bottom>
      <diagonal/>
    </border>
    <border>
      <left style="medium">
        <color indexed="64"/>
      </left>
      <right style="thin">
        <color rgb="FF404040"/>
      </right>
      <top style="thin">
        <color rgb="FF404040"/>
      </top>
      <bottom style="thin">
        <color rgb="FF404040"/>
      </bottom>
      <diagonal/>
    </border>
    <border>
      <left style="medium">
        <color indexed="64"/>
      </left>
      <right style="thin">
        <color rgb="FF404040"/>
      </right>
      <top style="thin">
        <color rgb="FF404040"/>
      </top>
      <bottom/>
      <diagonal/>
    </border>
    <border>
      <left style="medium">
        <color indexed="64"/>
      </left>
      <right style="thin">
        <color indexed="64"/>
      </right>
      <top style="medium">
        <color rgb="FF404040"/>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2">
    <xf numFmtId="0" fontId="0" fillId="0" borderId="0"/>
    <xf numFmtId="0" fontId="1" fillId="0" borderId="0"/>
  </cellStyleXfs>
  <cellXfs count="543">
    <xf numFmtId="0" fontId="0" fillId="0" borderId="0" xfId="0"/>
    <xf numFmtId="0" fontId="0" fillId="0" borderId="0" xfId="0" applyAlignment="1">
      <alignment wrapText="1"/>
    </xf>
    <xf numFmtId="0" fontId="6" fillId="0" borderId="0" xfId="0" applyFont="1"/>
    <xf numFmtId="0" fontId="15" fillId="0" borderId="0" xfId="0" applyFont="1" applyAlignment="1">
      <alignment horizontal="center" vertical="center" wrapText="1"/>
    </xf>
    <xf numFmtId="0" fontId="10" fillId="0" borderId="0" xfId="0" applyFont="1"/>
    <xf numFmtId="0" fontId="9" fillId="0" borderId="0" xfId="0" applyFont="1"/>
    <xf numFmtId="0" fontId="11" fillId="0" borderId="0" xfId="0" applyFont="1"/>
    <xf numFmtId="0" fontId="19" fillId="0" borderId="0" xfId="0" applyFont="1" applyAlignment="1">
      <alignment vertical="center"/>
    </xf>
    <xf numFmtId="0" fontId="20" fillId="0" borderId="0" xfId="0" applyFont="1" applyAlignment="1">
      <alignment vertical="center"/>
    </xf>
    <xf numFmtId="0" fontId="24" fillId="0" borderId="0" xfId="0" applyFont="1"/>
    <xf numFmtId="0" fontId="9" fillId="3" borderId="1" xfId="0" applyFont="1" applyFill="1" applyBorder="1" applyAlignment="1">
      <alignment horizontal="left" vertical="center"/>
    </xf>
    <xf numFmtId="3" fontId="9" fillId="3" borderId="12" xfId="0" applyNumberFormat="1" applyFont="1" applyFill="1" applyBorder="1" applyAlignment="1">
      <alignment horizontal="center" vertical="center"/>
    </xf>
    <xf numFmtId="3" fontId="9" fillId="2" borderId="2"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4" borderId="1"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9" fillId="4" borderId="1" xfId="0" applyNumberFormat="1" applyFont="1" applyFill="1" applyBorder="1" applyAlignment="1">
      <alignment horizontal="center" vertical="center"/>
    </xf>
    <xf numFmtId="164" fontId="8" fillId="2" borderId="3" xfId="0" applyNumberFormat="1" applyFont="1" applyFill="1" applyBorder="1" applyAlignment="1">
      <alignment horizontal="center" vertical="center"/>
    </xf>
    <xf numFmtId="164" fontId="8" fillId="4" borderId="3" xfId="0" applyNumberFormat="1" applyFont="1" applyFill="1" applyBorder="1" applyAlignment="1">
      <alignment horizontal="center" vertical="center"/>
    </xf>
    <xf numFmtId="165" fontId="9" fillId="2" borderId="1" xfId="0" applyNumberFormat="1" applyFont="1" applyFill="1" applyBorder="1" applyAlignment="1">
      <alignment horizontal="center" vertical="center"/>
    </xf>
    <xf numFmtId="165" fontId="9" fillId="4" borderId="1" xfId="0" applyNumberFormat="1" applyFont="1" applyFill="1" applyBorder="1" applyAlignment="1">
      <alignment horizontal="center" vertical="center"/>
    </xf>
    <xf numFmtId="165" fontId="9" fillId="2" borderId="2" xfId="0" applyNumberFormat="1" applyFont="1" applyFill="1" applyBorder="1" applyAlignment="1">
      <alignment horizontal="center" vertical="center"/>
    </xf>
    <xf numFmtId="3" fontId="9" fillId="3" borderId="4"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19" fillId="0" borderId="0" xfId="0" applyFont="1"/>
    <xf numFmtId="0" fontId="9" fillId="3" borderId="6" xfId="0" applyFont="1" applyFill="1" applyBorder="1" applyAlignment="1">
      <alignment horizontal="left" vertical="center"/>
    </xf>
    <xf numFmtId="0" fontId="9" fillId="3" borderId="4" xfId="0" applyFont="1" applyFill="1" applyBorder="1" applyAlignment="1">
      <alignment horizontal="left" vertical="center"/>
    </xf>
    <xf numFmtId="0" fontId="30" fillId="0" borderId="20" xfId="0" applyFont="1" applyBorder="1" applyAlignment="1">
      <alignment horizontal="center" vertical="center" wrapText="1"/>
    </xf>
    <xf numFmtId="3" fontId="9" fillId="4" borderId="20" xfId="0" applyNumberFormat="1" applyFont="1" applyFill="1" applyBorder="1"/>
    <xf numFmtId="0" fontId="10" fillId="4" borderId="20" xfId="0" applyFont="1" applyFill="1" applyBorder="1"/>
    <xf numFmtId="0" fontId="9" fillId="3" borderId="20" xfId="0" applyFont="1" applyFill="1" applyBorder="1" applyAlignment="1">
      <alignment horizontal="left" vertical="center"/>
    </xf>
    <xf numFmtId="0" fontId="30" fillId="0" borderId="21" xfId="0" applyFont="1" applyBorder="1" applyAlignment="1">
      <alignment horizontal="center" vertical="center" wrapText="1"/>
    </xf>
    <xf numFmtId="0" fontId="9" fillId="3" borderId="48" xfId="0" applyFont="1" applyFill="1" applyBorder="1" applyAlignment="1">
      <alignment horizontal="left" vertical="center"/>
    </xf>
    <xf numFmtId="3" fontId="9" fillId="3" borderId="49" xfId="0" applyNumberFormat="1" applyFont="1" applyFill="1" applyBorder="1" applyAlignment="1">
      <alignment horizontal="center" vertical="center"/>
    </xf>
    <xf numFmtId="3" fontId="9" fillId="2" borderId="29" xfId="0" applyNumberFormat="1" applyFont="1" applyFill="1" applyBorder="1" applyAlignment="1">
      <alignment horizontal="center" vertical="center"/>
    </xf>
    <xf numFmtId="165" fontId="9" fillId="2" borderId="29" xfId="0" applyNumberFormat="1" applyFont="1" applyFill="1" applyBorder="1" applyAlignment="1">
      <alignment horizontal="center" vertical="center"/>
    </xf>
    <xf numFmtId="164" fontId="9" fillId="2" borderId="29" xfId="0" applyNumberFormat="1" applyFont="1" applyFill="1" applyBorder="1" applyAlignment="1">
      <alignment horizontal="center" vertical="center"/>
    </xf>
    <xf numFmtId="165" fontId="9" fillId="4" borderId="31" xfId="0" applyNumberFormat="1" applyFont="1" applyFill="1" applyBorder="1" applyAlignment="1">
      <alignment horizontal="center" vertical="center"/>
    </xf>
    <xf numFmtId="164" fontId="9" fillId="4" borderId="31" xfId="0" applyNumberFormat="1" applyFont="1" applyFill="1" applyBorder="1" applyAlignment="1">
      <alignment horizontal="center" vertical="center"/>
    </xf>
    <xf numFmtId="164" fontId="9" fillId="2" borderId="32" xfId="0" applyNumberFormat="1" applyFont="1" applyFill="1" applyBorder="1" applyAlignment="1">
      <alignment horizontal="center" vertical="center"/>
    </xf>
    <xf numFmtId="164" fontId="9" fillId="5" borderId="34" xfId="0" applyNumberFormat="1" applyFont="1" applyFill="1" applyBorder="1" applyAlignment="1">
      <alignment horizontal="center" vertical="center"/>
    </xf>
    <xf numFmtId="164" fontId="9" fillId="4" borderId="34" xfId="0" applyNumberFormat="1" applyFont="1" applyFill="1" applyBorder="1" applyAlignment="1">
      <alignment horizontal="center" vertical="center"/>
    </xf>
    <xf numFmtId="164" fontId="8" fillId="2" borderId="44" xfId="0" applyNumberFormat="1" applyFont="1" applyFill="1" applyBorder="1" applyAlignment="1">
      <alignment horizontal="center" vertical="center"/>
    </xf>
    <xf numFmtId="164" fontId="8" fillId="4" borderId="44" xfId="0" applyNumberFormat="1" applyFont="1" applyFill="1" applyBorder="1" applyAlignment="1">
      <alignment horizontal="center" vertical="center"/>
    </xf>
    <xf numFmtId="0" fontId="9" fillId="3" borderId="28" xfId="0" applyFont="1" applyFill="1" applyBorder="1" applyAlignment="1">
      <alignment horizontal="left" vertical="center"/>
    </xf>
    <xf numFmtId="3" fontId="9" fillId="3" borderId="30" xfId="0" applyNumberFormat="1" applyFont="1" applyFill="1" applyBorder="1" applyAlignment="1">
      <alignment horizontal="center" vertical="center"/>
    </xf>
    <xf numFmtId="3" fontId="9" fillId="2" borderId="31" xfId="0" applyNumberFormat="1" applyFont="1" applyFill="1" applyBorder="1" applyAlignment="1">
      <alignment horizontal="center" vertical="center"/>
    </xf>
    <xf numFmtId="165" fontId="9" fillId="2" borderId="31" xfId="0" applyNumberFormat="1" applyFont="1" applyFill="1" applyBorder="1" applyAlignment="1">
      <alignment horizontal="center" vertical="center"/>
    </xf>
    <xf numFmtId="164" fontId="9" fillId="2" borderId="31" xfId="0" applyNumberFormat="1" applyFont="1" applyFill="1" applyBorder="1" applyAlignment="1">
      <alignment horizontal="center" vertical="center"/>
    </xf>
    <xf numFmtId="0" fontId="9" fillId="3" borderId="31" xfId="0" applyFont="1" applyFill="1" applyBorder="1" applyAlignment="1">
      <alignment horizontal="left" vertical="center"/>
    </xf>
    <xf numFmtId="3" fontId="9" fillId="3" borderId="31" xfId="0" applyNumberFormat="1" applyFont="1" applyFill="1" applyBorder="1" applyAlignment="1">
      <alignment horizontal="center" vertical="center"/>
    </xf>
    <xf numFmtId="0" fontId="9" fillId="2" borderId="31" xfId="0" applyFont="1" applyFill="1" applyBorder="1" applyAlignment="1">
      <alignment horizontal="center" vertical="center"/>
    </xf>
    <xf numFmtId="0" fontId="7" fillId="3" borderId="16" xfId="0" applyFont="1" applyFill="1" applyBorder="1" applyAlignment="1">
      <alignment horizontal="center" vertical="center" wrapText="1"/>
    </xf>
    <xf numFmtId="3" fontId="7" fillId="2" borderId="16" xfId="0" applyNumberFormat="1" applyFont="1" applyFill="1" applyBorder="1" applyAlignment="1">
      <alignment horizontal="center" vertical="center" wrapText="1"/>
    </xf>
    <xf numFmtId="3" fontId="7" fillId="4" borderId="16" xfId="0" applyNumberFormat="1"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5" borderId="16" xfId="0" applyFont="1" applyFill="1" applyBorder="1" applyAlignment="1">
      <alignment horizontal="center" vertical="center" wrapText="1"/>
    </xf>
    <xf numFmtId="3" fontId="7" fillId="5" borderId="16" xfId="0" applyNumberFormat="1" applyFont="1" applyFill="1" applyBorder="1" applyAlignment="1">
      <alignment horizontal="center" vertical="center" wrapText="1"/>
    </xf>
    <xf numFmtId="0" fontId="7" fillId="0" borderId="21" xfId="0" applyFont="1" applyBorder="1" applyAlignment="1">
      <alignment horizontal="center" vertical="center" wrapText="1"/>
    </xf>
    <xf numFmtId="3" fontId="7" fillId="0" borderId="21" xfId="0" applyNumberFormat="1" applyFont="1" applyBorder="1" applyAlignment="1">
      <alignment horizontal="center" vertical="center" wrapText="1"/>
    </xf>
    <xf numFmtId="0" fontId="9" fillId="3" borderId="27" xfId="0" applyFont="1" applyFill="1" applyBorder="1" applyAlignment="1">
      <alignment horizontal="left" vertical="center"/>
    </xf>
    <xf numFmtId="3" fontId="9" fillId="4" borderId="27" xfId="0" applyNumberFormat="1" applyFont="1" applyFill="1" applyBorder="1"/>
    <xf numFmtId="3" fontId="8" fillId="4" borderId="36" xfId="0" applyNumberFormat="1" applyFont="1" applyFill="1" applyBorder="1"/>
    <xf numFmtId="3" fontId="9" fillId="4" borderId="25" xfId="0" applyNumberFormat="1" applyFont="1" applyFill="1" applyBorder="1"/>
    <xf numFmtId="0" fontId="23" fillId="4" borderId="36" xfId="0" applyFont="1" applyFill="1" applyBorder="1"/>
    <xf numFmtId="3" fontId="8" fillId="4" borderId="21" xfId="0" applyNumberFormat="1" applyFont="1" applyFill="1" applyBorder="1"/>
    <xf numFmtId="0" fontId="23" fillId="4" borderId="21" xfId="0" applyFont="1" applyFill="1" applyBorder="1"/>
    <xf numFmtId="0" fontId="9" fillId="3" borderId="27" xfId="0" applyFont="1" applyFill="1" applyBorder="1" applyAlignment="1">
      <alignment horizontal="center" vertical="center"/>
    </xf>
    <xf numFmtId="9" fontId="9" fillId="3" borderId="27" xfId="0" applyNumberFormat="1" applyFont="1" applyFill="1" applyBorder="1" applyAlignment="1">
      <alignment horizontal="center" vertical="center"/>
    </xf>
    <xf numFmtId="0" fontId="9" fillId="2" borderId="27" xfId="0" applyFont="1" applyFill="1" applyBorder="1" applyAlignment="1">
      <alignment horizontal="center" vertical="center"/>
    </xf>
    <xf numFmtId="3" fontId="9" fillId="2" borderId="27" xfId="0" applyNumberFormat="1" applyFont="1" applyFill="1" applyBorder="1" applyAlignment="1">
      <alignment horizontal="center" vertical="center"/>
    </xf>
    <xf numFmtId="0" fontId="9" fillId="4" borderId="27" xfId="0" applyFont="1" applyFill="1" applyBorder="1" applyAlignment="1">
      <alignment horizontal="center" vertical="center"/>
    </xf>
    <xf numFmtId="3" fontId="9" fillId="4" borderId="27" xfId="0" applyNumberFormat="1" applyFont="1" applyFill="1" applyBorder="1" applyAlignment="1">
      <alignment horizontal="center" vertical="center"/>
    </xf>
    <xf numFmtId="0" fontId="9" fillId="3" borderId="20" xfId="0" applyFont="1" applyFill="1" applyBorder="1" applyAlignment="1">
      <alignment horizontal="center" vertical="center"/>
    </xf>
    <xf numFmtId="9" fontId="9" fillId="3" borderId="20" xfId="0" applyNumberFormat="1" applyFont="1" applyFill="1" applyBorder="1" applyAlignment="1">
      <alignment horizontal="center" vertical="center"/>
    </xf>
    <xf numFmtId="0" fontId="9" fillId="2" borderId="20" xfId="0" applyFont="1" applyFill="1" applyBorder="1" applyAlignment="1">
      <alignment horizontal="center" vertical="center"/>
    </xf>
    <xf numFmtId="3" fontId="9" fillId="2" borderId="20" xfId="0" applyNumberFormat="1" applyFont="1" applyFill="1" applyBorder="1" applyAlignment="1">
      <alignment horizontal="center" vertical="center"/>
    </xf>
    <xf numFmtId="0" fontId="9" fillId="4" borderId="20" xfId="0" applyFont="1" applyFill="1" applyBorder="1" applyAlignment="1">
      <alignment horizontal="center" vertical="center"/>
    </xf>
    <xf numFmtId="3" fontId="9" fillId="4" borderId="20" xfId="0" applyNumberFormat="1" applyFont="1" applyFill="1" applyBorder="1" applyAlignment="1">
      <alignment horizontal="center" vertical="center"/>
    </xf>
    <xf numFmtId="0" fontId="8" fillId="4" borderId="21" xfId="0" applyFont="1" applyFill="1" applyBorder="1" applyAlignment="1">
      <alignment horizontal="center" vertical="center"/>
    </xf>
    <xf numFmtId="3" fontId="8" fillId="4" borderId="21" xfId="0" applyNumberFormat="1" applyFont="1" applyFill="1" applyBorder="1" applyAlignment="1">
      <alignment horizontal="center" vertical="center"/>
    </xf>
    <xf numFmtId="164" fontId="9" fillId="2" borderId="27" xfId="0" applyNumberFormat="1" applyFont="1" applyFill="1" applyBorder="1" applyAlignment="1">
      <alignment horizontal="center" vertical="center"/>
    </xf>
    <xf numFmtId="164" fontId="9" fillId="2" borderId="20" xfId="0" applyNumberFormat="1" applyFont="1" applyFill="1" applyBorder="1" applyAlignment="1">
      <alignment horizontal="center" vertical="center"/>
    </xf>
    <xf numFmtId="164" fontId="8" fillId="2" borderId="21" xfId="0" applyNumberFormat="1" applyFont="1" applyFill="1" applyBorder="1" applyAlignment="1">
      <alignment horizontal="center" vertical="center"/>
    </xf>
    <xf numFmtId="165" fontId="9" fillId="2" borderId="27" xfId="0" applyNumberFormat="1" applyFont="1" applyFill="1" applyBorder="1" applyAlignment="1">
      <alignment horizontal="center" vertical="center"/>
    </xf>
    <xf numFmtId="165" fontId="9" fillId="2" borderId="20" xfId="0" applyNumberFormat="1" applyFont="1" applyFill="1" applyBorder="1" applyAlignment="1">
      <alignment horizontal="center" vertical="center"/>
    </xf>
    <xf numFmtId="164" fontId="8" fillId="2" borderId="36" xfId="0" applyNumberFormat="1" applyFont="1" applyFill="1" applyBorder="1" applyAlignment="1">
      <alignment horizontal="center" vertical="center"/>
    </xf>
    <xf numFmtId="3" fontId="9" fillId="3" borderId="20" xfId="0" applyNumberFormat="1" applyFont="1" applyFill="1" applyBorder="1" applyAlignment="1">
      <alignment horizontal="center" vertical="center"/>
    </xf>
    <xf numFmtId="164" fontId="9" fillId="2" borderId="71" xfId="0" applyNumberFormat="1" applyFont="1" applyFill="1" applyBorder="1" applyAlignment="1">
      <alignment horizontal="center" vertical="center"/>
    </xf>
    <xf numFmtId="3" fontId="9" fillId="0" borderId="73" xfId="0" applyNumberFormat="1" applyFont="1" applyBorder="1" applyAlignment="1">
      <alignment horizontal="center" vertical="center"/>
    </xf>
    <xf numFmtId="3" fontId="9" fillId="3" borderId="27" xfId="0" applyNumberFormat="1" applyFont="1" applyFill="1" applyBorder="1" applyAlignment="1">
      <alignment horizontal="center" vertical="center"/>
    </xf>
    <xf numFmtId="164" fontId="9" fillId="2" borderId="75" xfId="0" applyNumberFormat="1" applyFont="1" applyFill="1" applyBorder="1" applyAlignment="1">
      <alignment horizontal="center" vertical="center"/>
    </xf>
    <xf numFmtId="0" fontId="10" fillId="4" borderId="27" xfId="0" applyFont="1" applyFill="1" applyBorder="1"/>
    <xf numFmtId="0" fontId="9" fillId="3" borderId="25" xfId="0" applyFont="1" applyFill="1" applyBorder="1" applyAlignment="1">
      <alignment horizontal="left" vertical="center"/>
    </xf>
    <xf numFmtId="9" fontId="9" fillId="3" borderId="25" xfId="0" applyNumberFormat="1" applyFont="1" applyFill="1" applyBorder="1" applyAlignment="1">
      <alignment horizontal="center" vertical="center"/>
    </xf>
    <xf numFmtId="3" fontId="9" fillId="3" borderId="25" xfId="0" applyNumberFormat="1" applyFont="1" applyFill="1" applyBorder="1" applyAlignment="1">
      <alignment horizontal="center" vertical="center"/>
    </xf>
    <xf numFmtId="3" fontId="9" fillId="2" borderId="25" xfId="0" applyNumberFormat="1" applyFont="1" applyFill="1" applyBorder="1" applyAlignment="1">
      <alignment horizontal="center" vertical="center"/>
    </xf>
    <xf numFmtId="165" fontId="9" fillId="2" borderId="25" xfId="0" applyNumberFormat="1" applyFont="1" applyFill="1" applyBorder="1" applyAlignment="1">
      <alignment horizontal="center" vertical="center"/>
    </xf>
    <xf numFmtId="164" fontId="9" fillId="2" borderId="25" xfId="0" applyNumberFormat="1" applyFont="1" applyFill="1" applyBorder="1" applyAlignment="1">
      <alignment horizontal="center" vertical="center"/>
    </xf>
    <xf numFmtId="0" fontId="10" fillId="4" borderId="25" xfId="0" applyFont="1" applyFill="1" applyBorder="1"/>
    <xf numFmtId="164" fontId="9" fillId="2" borderId="58" xfId="0" applyNumberFormat="1" applyFont="1" applyFill="1" applyBorder="1" applyAlignment="1">
      <alignment horizontal="center" vertical="center"/>
    </xf>
    <xf numFmtId="164" fontId="9" fillId="5" borderId="59" xfId="0" applyNumberFormat="1" applyFont="1" applyFill="1" applyBorder="1" applyAlignment="1">
      <alignment horizontal="center" vertical="center"/>
    </xf>
    <xf numFmtId="164" fontId="9" fillId="4" borderId="21" xfId="0" applyNumberFormat="1" applyFont="1" applyFill="1" applyBorder="1" applyAlignment="1">
      <alignment horizontal="center" vertical="center"/>
    </xf>
    <xf numFmtId="164" fontId="9" fillId="4" borderId="61" xfId="0" applyNumberFormat="1" applyFont="1" applyFill="1" applyBorder="1" applyAlignment="1">
      <alignment horizontal="center" vertical="center"/>
    </xf>
    <xf numFmtId="164" fontId="9" fillId="5" borderId="20" xfId="0" applyNumberFormat="1" applyFont="1" applyFill="1" applyBorder="1" applyAlignment="1">
      <alignment horizontal="center" vertical="center"/>
    </xf>
    <xf numFmtId="164" fontId="9" fillId="4" borderId="36" xfId="0" applyNumberFormat="1" applyFont="1" applyFill="1" applyBorder="1" applyAlignment="1">
      <alignment horizontal="center" vertical="center"/>
    </xf>
    <xf numFmtId="164" fontId="9" fillId="4" borderId="60" xfId="0" applyNumberFormat="1" applyFont="1" applyFill="1" applyBorder="1" applyAlignment="1">
      <alignment horizontal="center" vertical="center"/>
    </xf>
    <xf numFmtId="164" fontId="9" fillId="2" borderId="70" xfId="0" applyNumberFormat="1" applyFont="1" applyFill="1" applyBorder="1" applyAlignment="1">
      <alignment horizontal="center" vertical="center"/>
    </xf>
    <xf numFmtId="0" fontId="7" fillId="0" borderId="20" xfId="0" applyFont="1" applyBorder="1" applyAlignment="1">
      <alignment horizontal="center" vertical="center" wrapText="1"/>
    </xf>
    <xf numFmtId="164" fontId="9" fillId="4" borderId="20" xfId="0" applyNumberFormat="1" applyFont="1" applyFill="1" applyBorder="1" applyAlignment="1">
      <alignment horizontal="center" vertical="center"/>
    </xf>
    <xf numFmtId="3" fontId="8" fillId="2" borderId="20" xfId="0" applyNumberFormat="1" applyFont="1" applyFill="1" applyBorder="1" applyAlignment="1">
      <alignment horizontal="left" vertical="center"/>
    </xf>
    <xf numFmtId="3" fontId="8" fillId="4" borderId="20" xfId="0" applyNumberFormat="1" applyFont="1" applyFill="1" applyBorder="1" applyAlignment="1">
      <alignment horizontal="left" vertical="center"/>
    </xf>
    <xf numFmtId="3" fontId="7" fillId="2" borderId="21" xfId="0" applyNumberFormat="1" applyFont="1" applyFill="1" applyBorder="1" applyAlignment="1">
      <alignment horizontal="center" vertical="center" wrapText="1"/>
    </xf>
    <xf numFmtId="0" fontId="7" fillId="10" borderId="21" xfId="0" applyFont="1" applyFill="1" applyBorder="1" applyAlignment="1">
      <alignment horizontal="center" vertical="center" wrapText="1"/>
    </xf>
    <xf numFmtId="3" fontId="7" fillId="10" borderId="21" xfId="0" applyNumberFormat="1" applyFont="1" applyFill="1" applyBorder="1" applyAlignment="1">
      <alignment horizontal="center" vertical="center" wrapText="1"/>
    </xf>
    <xf numFmtId="164" fontId="7" fillId="5" borderId="20" xfId="0" applyNumberFormat="1" applyFont="1" applyFill="1" applyBorder="1" applyAlignment="1">
      <alignment horizontal="center" vertical="center" wrapText="1"/>
    </xf>
    <xf numFmtId="3" fontId="16" fillId="0" borderId="0" xfId="0" applyNumberFormat="1"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0" fontId="5" fillId="0" borderId="0" xfId="0" applyFont="1" applyAlignment="1">
      <alignment horizontal="center" vertical="center"/>
    </xf>
    <xf numFmtId="0" fontId="18" fillId="0" borderId="0" xfId="0" applyFont="1" applyAlignment="1">
      <alignment horizontal="center" vertical="center"/>
    </xf>
    <xf numFmtId="0" fontId="12" fillId="0" borderId="0" xfId="0" applyFont="1" applyAlignment="1">
      <alignment horizontal="center" vertical="center"/>
    </xf>
    <xf numFmtId="3" fontId="14" fillId="0" borderId="0" xfId="0" applyNumberFormat="1" applyFont="1" applyAlignment="1">
      <alignment horizontal="center" vertical="center"/>
    </xf>
    <xf numFmtId="0" fontId="17" fillId="0" borderId="0" xfId="0" applyFont="1" applyAlignment="1">
      <alignment horizontal="right" vertical="center"/>
    </xf>
    <xf numFmtId="164" fontId="32" fillId="0" borderId="0" xfId="0" applyNumberFormat="1" applyFont="1" applyAlignment="1">
      <alignment horizontal="center" vertical="center"/>
    </xf>
    <xf numFmtId="0" fontId="32" fillId="0" borderId="0" xfId="0" applyFont="1" applyAlignment="1">
      <alignment horizontal="center" vertical="center"/>
    </xf>
    <xf numFmtId="3" fontId="32" fillId="0" borderId="0" xfId="0" applyNumberFormat="1" applyFont="1" applyAlignment="1">
      <alignment horizontal="center" vertical="center"/>
    </xf>
    <xf numFmtId="0" fontId="33" fillId="0" borderId="0" xfId="0" applyFont="1" applyAlignment="1">
      <alignment horizontal="center" vertical="center"/>
    </xf>
    <xf numFmtId="0" fontId="16" fillId="13" borderId="20" xfId="0" applyFont="1" applyFill="1" applyBorder="1" applyAlignment="1">
      <alignment horizontal="center" vertical="center" wrapText="1"/>
    </xf>
    <xf numFmtId="3" fontId="16" fillId="13" borderId="20" xfId="0" applyNumberFormat="1" applyFont="1" applyFill="1" applyBorder="1" applyAlignment="1">
      <alignment horizontal="center" vertical="center" wrapText="1"/>
    </xf>
    <xf numFmtId="164" fontId="32" fillId="13" borderId="20" xfId="0" applyNumberFormat="1" applyFont="1" applyFill="1" applyBorder="1" applyAlignment="1">
      <alignment horizontal="center" vertical="center"/>
    </xf>
    <xf numFmtId="0" fontId="12" fillId="0" borderId="0" xfId="0" applyFont="1" applyAlignment="1">
      <alignment horizontal="right" vertical="center"/>
    </xf>
    <xf numFmtId="3" fontId="32" fillId="13" borderId="20" xfId="0" applyNumberFormat="1" applyFont="1" applyFill="1" applyBorder="1" applyAlignment="1">
      <alignment horizontal="center" vertical="center"/>
    </xf>
    <xf numFmtId="164" fontId="32" fillId="0" borderId="0" xfId="0" applyNumberFormat="1" applyFont="1" applyAlignment="1">
      <alignment horizontal="center" vertical="center" wrapText="1"/>
    </xf>
    <xf numFmtId="164" fontId="18" fillId="0" borderId="0" xfId="0" applyNumberFormat="1" applyFont="1" applyAlignment="1">
      <alignment horizontal="center" vertical="center"/>
    </xf>
    <xf numFmtId="0" fontId="12" fillId="0" borderId="0" xfId="0" applyFont="1" applyAlignment="1">
      <alignment horizontal="center" vertical="center" wrapText="1"/>
    </xf>
    <xf numFmtId="0" fontId="5" fillId="11" borderId="0" xfId="0" applyFont="1" applyFill="1" applyAlignment="1">
      <alignment horizontal="right" vertical="center"/>
    </xf>
    <xf numFmtId="164" fontId="12" fillId="0" borderId="0" xfId="0" applyNumberFormat="1" applyFont="1" applyAlignment="1">
      <alignment horizontal="center" vertical="center"/>
    </xf>
    <xf numFmtId="0" fontId="33" fillId="0" borderId="0" xfId="0" applyFont="1" applyAlignment="1">
      <alignment horizontal="right" vertical="center"/>
    </xf>
    <xf numFmtId="164" fontId="0" fillId="0" borderId="0" xfId="0" applyNumberFormat="1" applyAlignment="1">
      <alignment wrapText="1"/>
    </xf>
    <xf numFmtId="0" fontId="2" fillId="8" borderId="12" xfId="0" applyFont="1" applyFill="1" applyBorder="1" applyAlignment="1">
      <alignment horizontal="center" vertical="center" wrapText="1"/>
    </xf>
    <xf numFmtId="0" fontId="0" fillId="0" borderId="12" xfId="0" applyBorder="1" applyAlignment="1">
      <alignment horizontal="left" vertical="center" wrapText="1"/>
    </xf>
    <xf numFmtId="164" fontId="0" fillId="0" borderId="12" xfId="0" applyNumberFormat="1" applyBorder="1" applyAlignment="1">
      <alignment horizontal="center" vertical="center" wrapText="1"/>
    </xf>
    <xf numFmtId="0" fontId="35" fillId="0" borderId="12" xfId="0" applyFont="1" applyBorder="1" applyAlignment="1">
      <alignment horizontal="left" vertical="center" wrapText="1"/>
    </xf>
    <xf numFmtId="164" fontId="0" fillId="8" borderId="12" xfId="0" applyNumberFormat="1" applyFill="1" applyBorder="1" applyAlignment="1">
      <alignment horizontal="center" vertical="center" wrapText="1"/>
    </xf>
    <xf numFmtId="0" fontId="0" fillId="0" borderId="12" xfId="0" applyBorder="1" applyAlignment="1">
      <alignment vertical="center" wrapText="1"/>
    </xf>
    <xf numFmtId="0" fontId="0" fillId="0" borderId="12" xfId="0" applyBorder="1" applyAlignment="1">
      <alignment horizontal="center" vertical="center" wrapText="1"/>
    </xf>
    <xf numFmtId="0" fontId="0" fillId="0" borderId="12" xfId="0" applyBorder="1"/>
    <xf numFmtId="3" fontId="0" fillId="0" borderId="12" xfId="0" applyNumberFormat="1" applyBorder="1" applyAlignment="1">
      <alignment horizontal="center" vertical="center"/>
    </xf>
    <xf numFmtId="0" fontId="0" fillId="0" borderId="12" xfId="0" applyBorder="1" applyAlignment="1">
      <alignment horizontal="center" vertical="center"/>
    </xf>
    <xf numFmtId="164" fontId="9" fillId="0" borderId="20" xfId="0" applyNumberFormat="1" applyFont="1" applyBorder="1" applyAlignment="1">
      <alignment horizontal="center" vertical="center"/>
    </xf>
    <xf numFmtId="0" fontId="27" fillId="0" borderId="0" xfId="0" applyFont="1"/>
    <xf numFmtId="0" fontId="27" fillId="0" borderId="0" xfId="0" applyFont="1" applyAlignment="1">
      <alignment wrapText="1"/>
    </xf>
    <xf numFmtId="0" fontId="22" fillId="0" borderId="0" xfId="0" applyFont="1"/>
    <xf numFmtId="0" fontId="13" fillId="0" borderId="0" xfId="0" applyFont="1" applyAlignment="1">
      <alignment wrapText="1"/>
    </xf>
    <xf numFmtId="164" fontId="22" fillId="0" borderId="20" xfId="0" applyNumberFormat="1" applyFont="1" applyBorder="1" applyAlignment="1">
      <alignment horizontal="center" vertical="center"/>
    </xf>
    <xf numFmtId="3" fontId="36" fillId="0" borderId="0" xfId="0" applyNumberFormat="1" applyFont="1" applyAlignment="1">
      <alignment horizontal="left" vertical="center" wrapText="1"/>
    </xf>
    <xf numFmtId="3" fontId="27" fillId="0" borderId="0" xfId="0" applyNumberFormat="1" applyFont="1" applyAlignment="1">
      <alignment horizontal="left" vertical="center" wrapText="1"/>
    </xf>
    <xf numFmtId="164" fontId="22" fillId="0" borderId="0" xfId="0" applyNumberFormat="1" applyFont="1" applyAlignment="1">
      <alignment horizontal="center" vertical="center"/>
    </xf>
    <xf numFmtId="164" fontId="9" fillId="5" borderId="1" xfId="0" applyNumberFormat="1" applyFont="1" applyFill="1" applyBorder="1" applyAlignment="1">
      <alignment horizontal="center" vertical="center"/>
    </xf>
    <xf numFmtId="164" fontId="9" fillId="5" borderId="22" xfId="0" applyNumberFormat="1" applyFont="1" applyFill="1" applyBorder="1" applyAlignment="1">
      <alignment horizontal="center" vertical="center"/>
    </xf>
    <xf numFmtId="164" fontId="9" fillId="4" borderId="22" xfId="0" applyNumberFormat="1" applyFont="1" applyFill="1" applyBorder="1" applyAlignment="1">
      <alignment horizontal="center" vertical="center"/>
    </xf>
    <xf numFmtId="164" fontId="9" fillId="2" borderId="22" xfId="0" applyNumberFormat="1" applyFont="1" applyFill="1" applyBorder="1" applyAlignment="1">
      <alignment horizontal="center" vertical="center"/>
    </xf>
    <xf numFmtId="3" fontId="26" fillId="0" borderId="0" xfId="0" applyNumberFormat="1" applyFont="1" applyAlignment="1">
      <alignment wrapText="1"/>
    </xf>
    <xf numFmtId="164" fontId="9" fillId="4" borderId="25" xfId="0" applyNumberFormat="1" applyFont="1" applyFill="1" applyBorder="1" applyAlignment="1">
      <alignment horizontal="center" vertical="center"/>
    </xf>
    <xf numFmtId="0" fontId="9" fillId="3" borderId="30" xfId="0" applyFont="1" applyFill="1" applyBorder="1" applyAlignment="1">
      <alignment horizontal="left" vertical="center"/>
    </xf>
    <xf numFmtId="9" fontId="9" fillId="3" borderId="31" xfId="0" applyNumberFormat="1" applyFont="1" applyFill="1" applyBorder="1" applyAlignment="1">
      <alignment horizontal="center" vertical="center"/>
    </xf>
    <xf numFmtId="3" fontId="9" fillId="4" borderId="31" xfId="0" applyNumberFormat="1" applyFont="1" applyFill="1" applyBorder="1" applyAlignment="1">
      <alignment horizontal="center" vertical="center"/>
    </xf>
    <xf numFmtId="3" fontId="9" fillId="2" borderId="31" xfId="0" applyNumberFormat="1" applyFont="1" applyFill="1" applyBorder="1" applyAlignment="1">
      <alignment horizontal="left" vertical="center"/>
    </xf>
    <xf numFmtId="0" fontId="9" fillId="3" borderId="8" xfId="0" applyFont="1" applyFill="1" applyBorder="1" applyAlignment="1">
      <alignment horizontal="left" vertical="center"/>
    </xf>
    <xf numFmtId="9" fontId="9" fillId="3" borderId="3" xfId="0" applyNumberFormat="1" applyFont="1" applyFill="1" applyBorder="1" applyAlignment="1">
      <alignment horizontal="center" vertical="center"/>
    </xf>
    <xf numFmtId="3" fontId="9" fillId="3" borderId="11" xfId="0" applyNumberFormat="1" applyFont="1" applyFill="1" applyBorder="1" applyAlignment="1">
      <alignment horizontal="center" vertical="center"/>
    </xf>
    <xf numFmtId="3" fontId="9" fillId="2" borderId="3" xfId="0" applyNumberFormat="1" applyFont="1" applyFill="1" applyBorder="1" applyAlignment="1">
      <alignment horizontal="center" vertical="center"/>
    </xf>
    <xf numFmtId="165" fontId="9" fillId="2" borderId="3"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3" fontId="9" fillId="4" borderId="3" xfId="0" applyNumberFormat="1" applyFont="1" applyFill="1" applyBorder="1" applyAlignment="1">
      <alignment horizontal="center" vertical="center"/>
    </xf>
    <xf numFmtId="165" fontId="9" fillId="4" borderId="3" xfId="0" applyNumberFormat="1" applyFont="1" applyFill="1" applyBorder="1" applyAlignment="1">
      <alignment horizontal="center" vertical="center"/>
    </xf>
    <xf numFmtId="164" fontId="9" fillId="4" borderId="3" xfId="0" applyNumberFormat="1" applyFont="1" applyFill="1" applyBorder="1" applyAlignment="1">
      <alignment horizontal="center" vertical="center"/>
    </xf>
    <xf numFmtId="3" fontId="9" fillId="5" borderId="1" xfId="0" applyNumberFormat="1" applyFont="1" applyFill="1" applyBorder="1" applyAlignment="1">
      <alignment horizontal="left" vertical="center" wrapText="1"/>
    </xf>
    <xf numFmtId="0" fontId="9" fillId="3" borderId="15" xfId="0" applyFont="1" applyFill="1" applyBorder="1" applyAlignment="1">
      <alignment horizontal="left" vertical="center"/>
    </xf>
    <xf numFmtId="9" fontId="9" fillId="3" borderId="12" xfId="0" applyNumberFormat="1" applyFont="1" applyFill="1" applyBorder="1" applyAlignment="1">
      <alignment horizontal="center" vertical="center"/>
    </xf>
    <xf numFmtId="3" fontId="9" fillId="2" borderId="12" xfId="0" applyNumberFormat="1" applyFont="1" applyFill="1" applyBorder="1" applyAlignment="1">
      <alignment horizontal="center" vertical="center"/>
    </xf>
    <xf numFmtId="165" fontId="9" fillId="2" borderId="14" xfId="0" applyNumberFormat="1" applyFont="1" applyFill="1" applyBorder="1" applyAlignment="1">
      <alignment horizontal="center" vertical="center"/>
    </xf>
    <xf numFmtId="164" fontId="9" fillId="2" borderId="12" xfId="0" applyNumberFormat="1" applyFont="1" applyFill="1" applyBorder="1" applyAlignment="1">
      <alignment horizontal="center" vertical="center"/>
    </xf>
    <xf numFmtId="3" fontId="9" fillId="4" borderId="15" xfId="0" applyNumberFormat="1" applyFont="1" applyFill="1" applyBorder="1" applyAlignment="1">
      <alignment horizontal="center" vertical="center"/>
    </xf>
    <xf numFmtId="165" fontId="9" fillId="4" borderId="12" xfId="0" applyNumberFormat="1" applyFont="1" applyFill="1" applyBorder="1" applyAlignment="1">
      <alignment horizontal="center" vertical="center"/>
    </xf>
    <xf numFmtId="164" fontId="9" fillId="4" borderId="12" xfId="0" applyNumberFormat="1" applyFont="1" applyFill="1" applyBorder="1" applyAlignment="1">
      <alignment horizontal="center" vertical="center"/>
    </xf>
    <xf numFmtId="3" fontId="9" fillId="4" borderId="1" xfId="0" applyNumberFormat="1" applyFont="1" applyFill="1" applyBorder="1" applyAlignment="1">
      <alignment horizontal="left" vertical="center"/>
    </xf>
    <xf numFmtId="164" fontId="8" fillId="2" borderId="16" xfId="0" applyNumberFormat="1" applyFont="1" applyFill="1" applyBorder="1" applyAlignment="1">
      <alignment horizontal="center" vertical="center"/>
    </xf>
    <xf numFmtId="164" fontId="8" fillId="4" borderId="11" xfId="0" applyNumberFormat="1" applyFont="1" applyFill="1" applyBorder="1" applyAlignment="1">
      <alignment horizontal="center" vertical="center"/>
    </xf>
    <xf numFmtId="9" fontId="9" fillId="3" borderId="29" xfId="0" applyNumberFormat="1" applyFont="1" applyFill="1" applyBorder="1" applyAlignment="1">
      <alignment horizontal="center" vertical="center"/>
    </xf>
    <xf numFmtId="3" fontId="9" fillId="4" borderId="30" xfId="0" applyNumberFormat="1" applyFont="1" applyFill="1" applyBorder="1" applyAlignment="1">
      <alignment horizontal="center" vertical="center"/>
    </xf>
    <xf numFmtId="9" fontId="9" fillId="3" borderId="11" xfId="0" applyNumberFormat="1" applyFont="1" applyFill="1" applyBorder="1" applyAlignment="1">
      <alignment horizontal="center" vertical="center"/>
    </xf>
    <xf numFmtId="3" fontId="9" fillId="4" borderId="3" xfId="0" applyNumberFormat="1" applyFont="1" applyFill="1" applyBorder="1" applyAlignment="1">
      <alignment horizontal="left" vertical="center"/>
    </xf>
    <xf numFmtId="3" fontId="9" fillId="4" borderId="44" xfId="0" applyNumberFormat="1" applyFont="1" applyFill="1" applyBorder="1" applyAlignment="1">
      <alignment horizontal="left" vertical="center"/>
    </xf>
    <xf numFmtId="3" fontId="8" fillId="5" borderId="20" xfId="0" applyNumberFormat="1" applyFont="1" applyFill="1" applyBorder="1" applyAlignment="1">
      <alignment horizontal="left" vertical="center" wrapText="1"/>
    </xf>
    <xf numFmtId="0" fontId="30" fillId="0" borderId="0" xfId="0" applyFont="1" applyAlignment="1">
      <alignment horizontal="right" vertical="center" wrapText="1"/>
    </xf>
    <xf numFmtId="0" fontId="7" fillId="0" borderId="0" xfId="0" applyFont="1" applyAlignment="1">
      <alignment horizontal="right" vertical="center" wrapText="1"/>
    </xf>
    <xf numFmtId="0" fontId="6" fillId="0" borderId="0" xfId="0" applyFont="1" applyAlignment="1">
      <alignment horizontal="right" vertical="center" wrapText="1"/>
    </xf>
    <xf numFmtId="0" fontId="5" fillId="13" borderId="20" xfId="0" applyFont="1" applyFill="1" applyBorder="1" applyAlignment="1">
      <alignment horizontal="center" vertical="center" wrapText="1"/>
    </xf>
    <xf numFmtId="3" fontId="5" fillId="13" borderId="20" xfId="0" applyNumberFormat="1" applyFont="1" applyFill="1" applyBorder="1" applyAlignment="1">
      <alignment horizontal="center" vertical="center" wrapText="1"/>
    </xf>
    <xf numFmtId="164" fontId="12" fillId="13" borderId="20" xfId="0" applyNumberFormat="1" applyFont="1" applyFill="1" applyBorder="1" applyAlignment="1">
      <alignment horizontal="center" vertical="center"/>
    </xf>
    <xf numFmtId="164" fontId="12" fillId="13" borderId="20" xfId="0" applyNumberFormat="1" applyFont="1" applyFill="1" applyBorder="1" applyAlignment="1">
      <alignment horizontal="center" vertical="center" wrapText="1"/>
    </xf>
    <xf numFmtId="164" fontId="12" fillId="12" borderId="20" xfId="0" applyNumberFormat="1" applyFont="1" applyFill="1" applyBorder="1" applyAlignment="1">
      <alignment horizontal="center" vertical="center"/>
    </xf>
    <xf numFmtId="164" fontId="12" fillId="8" borderId="20" xfId="0" applyNumberFormat="1" applyFont="1" applyFill="1" applyBorder="1" applyAlignment="1">
      <alignment horizontal="center" vertical="center"/>
    </xf>
    <xf numFmtId="164" fontId="5" fillId="13" borderId="20" xfId="0" applyNumberFormat="1" applyFont="1" applyFill="1" applyBorder="1" applyAlignment="1">
      <alignment horizontal="center" vertical="center"/>
    </xf>
    <xf numFmtId="164" fontId="5" fillId="12" borderId="20" xfId="0" applyNumberFormat="1" applyFont="1" applyFill="1" applyBorder="1" applyAlignment="1">
      <alignment horizontal="center" vertical="center"/>
    </xf>
    <xf numFmtId="0" fontId="5" fillId="5" borderId="20" xfId="0" applyFont="1" applyFill="1" applyBorder="1" applyAlignment="1">
      <alignment horizontal="center" vertical="center" wrapText="1"/>
    </xf>
    <xf numFmtId="3" fontId="5" fillId="5" borderId="20" xfId="0" applyNumberFormat="1" applyFont="1" applyFill="1" applyBorder="1" applyAlignment="1">
      <alignment horizontal="center" vertical="center" wrapText="1"/>
    </xf>
    <xf numFmtId="164" fontId="12" fillId="5" borderId="20" xfId="0" applyNumberFormat="1" applyFont="1" applyFill="1" applyBorder="1" applyAlignment="1">
      <alignment horizontal="center" vertical="center"/>
    </xf>
    <xf numFmtId="0" fontId="5" fillId="11" borderId="0" xfId="0" applyFont="1" applyFill="1" applyAlignment="1">
      <alignment horizontal="right" vertical="center" wrapText="1"/>
    </xf>
    <xf numFmtId="0" fontId="0" fillId="0" borderId="0" xfId="0" applyAlignment="1">
      <alignment horizontal="center" vertical="center" wrapText="1"/>
    </xf>
    <xf numFmtId="164" fontId="12" fillId="0" borderId="20" xfId="0" applyNumberFormat="1" applyFont="1" applyBorder="1" applyAlignment="1">
      <alignment horizontal="center" vertical="center"/>
    </xf>
    <xf numFmtId="164" fontId="0" fillId="0" borderId="0" xfId="0" applyNumberFormat="1"/>
    <xf numFmtId="0" fontId="38" fillId="0" borderId="0" xfId="0" applyFont="1"/>
    <xf numFmtId="0" fontId="0" fillId="5" borderId="0" xfId="0" applyFill="1" applyAlignment="1">
      <alignment horizontal="center" vertical="center"/>
    </xf>
    <xf numFmtId="0" fontId="5" fillId="0" borderId="0" xfId="0" applyFont="1" applyAlignment="1">
      <alignment horizontal="right" vertical="center"/>
    </xf>
    <xf numFmtId="3" fontId="32" fillId="13" borderId="21" xfId="0" applyNumberFormat="1" applyFont="1" applyFill="1" applyBorder="1" applyAlignment="1">
      <alignment horizontal="center" vertical="center"/>
    </xf>
    <xf numFmtId="164" fontId="32" fillId="13" borderId="1" xfId="0" applyNumberFormat="1" applyFont="1" applyFill="1" applyBorder="1" applyAlignment="1">
      <alignment horizontal="center" vertical="center"/>
    </xf>
    <xf numFmtId="164" fontId="32" fillId="13" borderId="20" xfId="0" applyNumberFormat="1" applyFont="1" applyFill="1" applyBorder="1" applyAlignment="1">
      <alignment horizontal="center" vertical="center" wrapText="1"/>
    </xf>
    <xf numFmtId="3" fontId="14" fillId="0" borderId="0" xfId="0" applyNumberFormat="1" applyFont="1" applyAlignment="1">
      <alignment horizontal="center" vertical="center" wrapText="1"/>
    </xf>
    <xf numFmtId="0" fontId="18" fillId="0" borderId="0" xfId="0" applyFont="1" applyAlignment="1">
      <alignment horizontal="center" vertical="center" wrapText="1"/>
    </xf>
    <xf numFmtId="0" fontId="40" fillId="0" borderId="0" xfId="0" applyFont="1" applyAlignment="1">
      <alignment horizontal="center" vertical="center" wrapText="1"/>
    </xf>
    <xf numFmtId="164" fontId="5" fillId="0" borderId="0" xfId="0" applyNumberFormat="1" applyFont="1" applyAlignment="1">
      <alignment horizontal="center" vertical="center"/>
    </xf>
    <xf numFmtId="3" fontId="0" fillId="14" borderId="0" xfId="0" applyNumberFormat="1" applyFill="1" applyAlignment="1">
      <alignment horizontal="center" vertical="center" wrapText="1"/>
    </xf>
    <xf numFmtId="0" fontId="2" fillId="14" borderId="0" xfId="0" applyFont="1" applyFill="1" applyAlignment="1">
      <alignment horizontal="right" vertical="center"/>
    </xf>
    <xf numFmtId="164" fontId="0" fillId="14" borderId="0" xfId="0" applyNumberFormat="1" applyFill="1"/>
    <xf numFmtId="3" fontId="41" fillId="14" borderId="0" xfId="0" applyNumberFormat="1" applyFont="1" applyFill="1" applyAlignment="1">
      <alignment horizontal="center" vertical="center" wrapText="1"/>
    </xf>
    <xf numFmtId="164" fontId="41" fillId="14" borderId="0" xfId="0" applyNumberFormat="1" applyFont="1" applyFill="1"/>
    <xf numFmtId="3" fontId="0" fillId="0" borderId="0" xfId="0" applyNumberFormat="1"/>
    <xf numFmtId="0" fontId="0" fillId="0" borderId="0" xfId="0" applyAlignment="1">
      <alignment horizontal="left" vertical="top" wrapText="1"/>
    </xf>
    <xf numFmtId="164" fontId="9" fillId="2" borderId="81" xfId="0" applyNumberFormat="1" applyFont="1" applyFill="1" applyBorder="1" applyAlignment="1">
      <alignment horizontal="center" vertical="center"/>
    </xf>
    <xf numFmtId="164" fontId="9" fillId="5" borderId="78" xfId="0" applyNumberFormat="1" applyFont="1" applyFill="1" applyBorder="1" applyAlignment="1">
      <alignment horizontal="center" vertical="center"/>
    </xf>
    <xf numFmtId="164" fontId="9" fillId="4" borderId="78" xfId="0" applyNumberFormat="1" applyFont="1" applyFill="1" applyBorder="1" applyAlignment="1">
      <alignment horizontal="center" vertical="center"/>
    </xf>
    <xf numFmtId="164" fontId="9" fillId="2" borderId="82" xfId="0" applyNumberFormat="1" applyFont="1" applyFill="1" applyBorder="1" applyAlignment="1">
      <alignment horizontal="center" vertical="center"/>
    </xf>
    <xf numFmtId="164" fontId="9" fillId="0" borderId="22" xfId="0" applyNumberFormat="1" applyFont="1" applyBorder="1" applyAlignment="1">
      <alignment horizontal="center" vertical="center"/>
    </xf>
    <xf numFmtId="164" fontId="9" fillId="4" borderId="54" xfId="0" applyNumberFormat="1" applyFont="1" applyFill="1" applyBorder="1" applyAlignment="1">
      <alignment horizontal="center" vertical="center"/>
    </xf>
    <xf numFmtId="164" fontId="9" fillId="4" borderId="50" xfId="0" applyNumberFormat="1" applyFont="1" applyFill="1" applyBorder="1" applyAlignment="1">
      <alignment horizontal="center" vertical="center"/>
    </xf>
    <xf numFmtId="164" fontId="9" fillId="2" borderId="47" xfId="0" applyNumberFormat="1" applyFont="1" applyFill="1" applyBorder="1" applyAlignment="1">
      <alignment horizontal="center" vertical="center"/>
    </xf>
    <xf numFmtId="164" fontId="9" fillId="2" borderId="0" xfId="0" applyNumberFormat="1" applyFont="1" applyFill="1" applyAlignment="1">
      <alignment horizontal="center" vertical="center"/>
    </xf>
    <xf numFmtId="164" fontId="9" fillId="5" borderId="0" xfId="0" applyNumberFormat="1" applyFont="1" applyFill="1" applyAlignment="1">
      <alignment horizontal="center" vertical="center"/>
    </xf>
    <xf numFmtId="164" fontId="9" fillId="4" borderId="0" xfId="0" applyNumberFormat="1" applyFont="1" applyFill="1" applyAlignment="1">
      <alignment horizontal="center" vertical="center"/>
    </xf>
    <xf numFmtId="3" fontId="8" fillId="2" borderId="22" xfId="0" applyNumberFormat="1" applyFont="1" applyFill="1" applyBorder="1" applyAlignment="1">
      <alignment horizontal="left" vertical="center"/>
    </xf>
    <xf numFmtId="3" fontId="8" fillId="5" borderId="22" xfId="0" applyNumberFormat="1" applyFont="1" applyFill="1" applyBorder="1" applyAlignment="1">
      <alignment horizontal="left" vertical="center" wrapText="1"/>
    </xf>
    <xf numFmtId="3" fontId="8" fillId="4" borderId="22" xfId="0" applyNumberFormat="1" applyFont="1" applyFill="1" applyBorder="1" applyAlignment="1">
      <alignment horizontal="left" vertical="center"/>
    </xf>
    <xf numFmtId="164" fontId="9" fillId="2" borderId="4" xfId="0" applyNumberFormat="1" applyFont="1" applyFill="1" applyBorder="1" applyAlignment="1">
      <alignment horizontal="center" vertical="center"/>
    </xf>
    <xf numFmtId="164" fontId="9" fillId="5" borderId="4" xfId="0" applyNumberFormat="1" applyFont="1" applyFill="1" applyBorder="1" applyAlignment="1">
      <alignment horizontal="center" vertical="center"/>
    </xf>
    <xf numFmtId="164" fontId="9" fillId="4" borderId="4" xfId="0" applyNumberFormat="1" applyFont="1" applyFill="1" applyBorder="1" applyAlignment="1">
      <alignment horizontal="center" vertical="center"/>
    </xf>
    <xf numFmtId="164" fontId="9" fillId="4" borderId="77" xfId="0" applyNumberFormat="1" applyFont="1" applyFill="1" applyBorder="1" applyAlignment="1">
      <alignment horizontal="center" vertical="center"/>
    </xf>
    <xf numFmtId="164" fontId="9" fillId="0" borderId="0" xfId="0" applyNumberFormat="1" applyFont="1"/>
    <xf numFmtId="0" fontId="43" fillId="0" borderId="0" xfId="0" applyFont="1" applyAlignment="1">
      <alignment horizontal="right" vertical="center"/>
    </xf>
    <xf numFmtId="0" fontId="2" fillId="17" borderId="0" xfId="0" applyFont="1" applyFill="1" applyAlignment="1">
      <alignment horizontal="left" vertical="center"/>
    </xf>
    <xf numFmtId="164" fontId="0" fillId="17" borderId="0" xfId="0" applyNumberFormat="1" applyFill="1"/>
    <xf numFmtId="0" fontId="2" fillId="17" borderId="0" xfId="0" applyFont="1" applyFill="1" applyAlignment="1">
      <alignment horizontal="right" vertical="center"/>
    </xf>
    <xf numFmtId="3" fontId="41" fillId="17" borderId="0" xfId="0" applyNumberFormat="1" applyFont="1" applyFill="1" applyAlignment="1">
      <alignment horizontal="center" vertical="center" wrapText="1"/>
    </xf>
    <xf numFmtId="0" fontId="25" fillId="0" borderId="0" xfId="0" applyFont="1" applyAlignment="1">
      <alignment vertical="center" wrapText="1"/>
    </xf>
    <xf numFmtId="164" fontId="9" fillId="5" borderId="91" xfId="0" applyNumberFormat="1" applyFont="1" applyFill="1" applyBorder="1" applyAlignment="1">
      <alignment horizontal="center" vertical="center"/>
    </xf>
    <xf numFmtId="164" fontId="9" fillId="4" borderId="91" xfId="0" applyNumberFormat="1" applyFont="1" applyFill="1" applyBorder="1" applyAlignment="1">
      <alignment horizontal="center" vertical="center"/>
    </xf>
    <xf numFmtId="164" fontId="8" fillId="2" borderId="101" xfId="0" applyNumberFormat="1" applyFont="1" applyFill="1" applyBorder="1" applyAlignment="1">
      <alignment horizontal="center" vertical="center"/>
    </xf>
    <xf numFmtId="164" fontId="8" fillId="4" borderId="101" xfId="0" applyNumberFormat="1" applyFont="1" applyFill="1" applyBorder="1" applyAlignment="1">
      <alignment horizontal="center" vertical="center"/>
    </xf>
    <xf numFmtId="0" fontId="19" fillId="0" borderId="106" xfId="0" applyFont="1" applyBorder="1" applyAlignment="1">
      <alignment horizontal="center" vertical="center" wrapText="1"/>
    </xf>
    <xf numFmtId="164" fontId="9" fillId="2" borderId="107" xfId="0" applyNumberFormat="1" applyFont="1" applyFill="1" applyBorder="1" applyAlignment="1">
      <alignment horizontal="center" vertical="center"/>
    </xf>
    <xf numFmtId="164" fontId="9" fillId="5" borderId="108" xfId="0" applyNumberFormat="1" applyFont="1" applyFill="1" applyBorder="1" applyAlignment="1">
      <alignment horizontal="center" vertical="center"/>
    </xf>
    <xf numFmtId="164" fontId="9" fillId="4" borderId="108" xfId="0" applyNumberFormat="1" applyFont="1" applyFill="1" applyBorder="1" applyAlignment="1">
      <alignment horizontal="center" vertical="center"/>
    </xf>
    <xf numFmtId="0" fontId="7" fillId="5" borderId="19" xfId="0" applyFont="1" applyFill="1" applyBorder="1" applyAlignment="1">
      <alignment horizontal="center" vertical="center" wrapText="1"/>
    </xf>
    <xf numFmtId="3" fontId="7" fillId="5" borderId="19" xfId="0" applyNumberFormat="1" applyFont="1" applyFill="1" applyBorder="1" applyAlignment="1">
      <alignment horizontal="center" vertical="center" wrapText="1"/>
    </xf>
    <xf numFmtId="0" fontId="19" fillId="0" borderId="109" xfId="0" applyFont="1" applyBorder="1" applyAlignment="1">
      <alignment horizontal="center" vertical="center" wrapText="1"/>
    </xf>
    <xf numFmtId="3" fontId="9" fillId="2" borderId="1" xfId="0" applyNumberFormat="1" applyFont="1" applyFill="1" applyBorder="1" applyAlignment="1">
      <alignment horizontal="left" vertical="center"/>
    </xf>
    <xf numFmtId="0" fontId="9" fillId="3" borderId="111" xfId="0" applyFont="1" applyFill="1" applyBorder="1" applyAlignment="1">
      <alignment horizontal="left" vertical="center"/>
    </xf>
    <xf numFmtId="9" fontId="9" fillId="3" borderId="112" xfId="0" applyNumberFormat="1" applyFont="1" applyFill="1" applyBorder="1" applyAlignment="1">
      <alignment horizontal="center" vertical="center"/>
    </xf>
    <xf numFmtId="3" fontId="9" fillId="3" borderId="112" xfId="0" applyNumberFormat="1" applyFont="1" applyFill="1" applyBorder="1" applyAlignment="1">
      <alignment horizontal="center" vertical="center"/>
    </xf>
    <xf numFmtId="3" fontId="9" fillId="2" borderId="112" xfId="0" applyNumberFormat="1" applyFont="1" applyFill="1" applyBorder="1" applyAlignment="1">
      <alignment horizontal="center" vertical="center"/>
    </xf>
    <xf numFmtId="165" fontId="9" fillId="2" borderId="112" xfId="0" applyNumberFormat="1" applyFont="1" applyFill="1" applyBorder="1" applyAlignment="1">
      <alignment horizontal="center" vertical="center"/>
    </xf>
    <xf numFmtId="164" fontId="9" fillId="2" borderId="112" xfId="0" applyNumberFormat="1" applyFont="1" applyFill="1" applyBorder="1" applyAlignment="1">
      <alignment horizontal="center" vertical="center"/>
    </xf>
    <xf numFmtId="3" fontId="9" fillId="4" borderId="112" xfId="0" applyNumberFormat="1" applyFont="1" applyFill="1" applyBorder="1" applyAlignment="1">
      <alignment horizontal="center" vertical="center"/>
    </xf>
    <xf numFmtId="165" fontId="9" fillId="4" borderId="112" xfId="0" applyNumberFormat="1" applyFont="1" applyFill="1" applyBorder="1" applyAlignment="1">
      <alignment horizontal="center" vertical="center"/>
    </xf>
    <xf numFmtId="164" fontId="9" fillId="4" borderId="112" xfId="0" applyNumberFormat="1" applyFont="1" applyFill="1" applyBorder="1" applyAlignment="1">
      <alignment horizontal="center" vertical="center"/>
    </xf>
    <xf numFmtId="3" fontId="9" fillId="2" borderId="112" xfId="0" applyNumberFormat="1" applyFont="1" applyFill="1" applyBorder="1" applyAlignment="1">
      <alignment horizontal="left" vertical="center"/>
    </xf>
    <xf numFmtId="164" fontId="9" fillId="2" borderId="113" xfId="0" applyNumberFormat="1" applyFont="1" applyFill="1" applyBorder="1" applyAlignment="1">
      <alignment horizontal="center" vertical="center"/>
    </xf>
    <xf numFmtId="164" fontId="9" fillId="2" borderId="91" xfId="0" applyNumberFormat="1" applyFont="1" applyFill="1" applyBorder="1" applyAlignment="1">
      <alignment horizontal="center" vertical="center"/>
    </xf>
    <xf numFmtId="3" fontId="7" fillId="0" borderId="54" xfId="0" applyNumberFormat="1" applyFont="1" applyBorder="1" applyAlignment="1">
      <alignment horizontal="center" vertical="center" wrapText="1"/>
    </xf>
    <xf numFmtId="3" fontId="7" fillId="0" borderId="1" xfId="0" applyNumberFormat="1" applyFont="1" applyBorder="1" applyAlignment="1">
      <alignment horizontal="center" vertical="center" wrapText="1"/>
    </xf>
    <xf numFmtId="0" fontId="7" fillId="4" borderId="17" xfId="0" applyFont="1" applyFill="1" applyBorder="1" applyAlignment="1">
      <alignment horizontal="center" vertical="center" wrapText="1"/>
    </xf>
    <xf numFmtId="3" fontId="9" fillId="2" borderId="2" xfId="0" applyNumberFormat="1" applyFont="1" applyFill="1" applyBorder="1" applyAlignment="1">
      <alignment horizontal="left" vertical="center"/>
    </xf>
    <xf numFmtId="164" fontId="9" fillId="2" borderId="122" xfId="0" applyNumberFormat="1" applyFont="1" applyFill="1" applyBorder="1" applyAlignment="1">
      <alignment horizontal="center" vertical="center"/>
    </xf>
    <xf numFmtId="0" fontId="7" fillId="5" borderId="1" xfId="0" applyFont="1" applyFill="1" applyBorder="1" applyAlignment="1">
      <alignment horizontal="center" vertical="center" wrapText="1"/>
    </xf>
    <xf numFmtId="3" fontId="7" fillId="5"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0" fontId="0" fillId="0" borderId="1" xfId="0" applyBorder="1"/>
    <xf numFmtId="0" fontId="0" fillId="0" borderId="1" xfId="0" applyBorder="1" applyAlignment="1">
      <alignment horizontal="center" vertical="center" wrapText="1"/>
    </xf>
    <xf numFmtId="0" fontId="0" fillId="0" borderId="78" xfId="0" applyBorder="1" applyAlignment="1">
      <alignment horizontal="center" vertical="center" wrapText="1"/>
    </xf>
    <xf numFmtId="0" fontId="0" fillId="0" borderId="4" xfId="0" applyBorder="1"/>
    <xf numFmtId="0" fontId="0" fillId="16" borderId="1" xfId="0" applyFill="1" applyBorder="1"/>
    <xf numFmtId="3" fontId="0" fillId="16" borderId="1" xfId="0" applyNumberFormat="1" applyFill="1" applyBorder="1" applyAlignment="1">
      <alignment horizontal="center" vertical="center"/>
    </xf>
    <xf numFmtId="164" fontId="0" fillId="16" borderId="1" xfId="0" applyNumberFormat="1" applyFill="1" applyBorder="1"/>
    <xf numFmtId="164" fontId="0" fillId="16" borderId="78" xfId="0" applyNumberFormat="1" applyFill="1" applyBorder="1"/>
    <xf numFmtId="0" fontId="0" fillId="16" borderId="4" xfId="0" applyFill="1" applyBorder="1"/>
    <xf numFmtId="3" fontId="0" fillId="0" borderId="1" xfId="0" applyNumberFormat="1" applyBorder="1" applyAlignment="1">
      <alignment horizontal="center" vertical="center"/>
    </xf>
    <xf numFmtId="164" fontId="0" fillId="0" borderId="1" xfId="0" applyNumberFormat="1" applyBorder="1"/>
    <xf numFmtId="164" fontId="0" fillId="0" borderId="78" xfId="0" applyNumberFormat="1" applyBorder="1"/>
    <xf numFmtId="0" fontId="0" fillId="0" borderId="1" xfId="0" applyBorder="1" applyAlignment="1">
      <alignment horizontal="center" vertical="center"/>
    </xf>
    <xf numFmtId="0" fontId="34" fillId="5" borderId="20"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34" fillId="11" borderId="20" xfId="0" applyFont="1" applyFill="1" applyBorder="1" applyAlignment="1">
      <alignment horizontal="center" vertical="center" wrapText="1"/>
    </xf>
    <xf numFmtId="0" fontId="12" fillId="11" borderId="20" xfId="0" applyFont="1" applyFill="1" applyBorder="1" applyAlignment="1">
      <alignment horizontal="center" vertical="center" wrapText="1"/>
    </xf>
    <xf numFmtId="0" fontId="31" fillId="11" borderId="20" xfId="0" applyFont="1" applyFill="1" applyBorder="1" applyAlignment="1">
      <alignment horizontal="center" vertical="center"/>
    </xf>
    <xf numFmtId="0" fontId="37" fillId="11" borderId="24" xfId="0" applyFont="1" applyFill="1" applyBorder="1" applyAlignment="1">
      <alignment horizontal="center" vertical="center" wrapText="1"/>
    </xf>
    <xf numFmtId="0" fontId="2" fillId="14" borderId="80" xfId="0" applyFont="1" applyFill="1" applyBorder="1" applyAlignment="1">
      <alignment horizontal="center" vertical="center" wrapText="1"/>
    </xf>
    <xf numFmtId="0" fontId="2" fillId="16" borderId="0" xfId="0" applyFont="1" applyFill="1" applyAlignment="1">
      <alignment horizontal="center" vertical="center"/>
    </xf>
    <xf numFmtId="0" fontId="2" fillId="0" borderId="0" xfId="0" applyFont="1" applyAlignment="1">
      <alignment horizontal="center" vertical="center"/>
    </xf>
    <xf numFmtId="0" fontId="0" fillId="15" borderId="0" xfId="0" applyFill="1" applyAlignment="1">
      <alignment horizontal="center" vertical="center" wrapText="1"/>
    </xf>
    <xf numFmtId="0" fontId="0" fillId="14" borderId="78" xfId="0" applyFill="1"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left" vertical="top" wrapText="1"/>
    </xf>
    <xf numFmtId="0" fontId="31" fillId="11" borderId="21" xfId="0" applyFont="1" applyFill="1" applyBorder="1" applyAlignment="1">
      <alignment horizontal="center" vertical="center"/>
    </xf>
    <xf numFmtId="0" fontId="39" fillId="15" borderId="0" xfId="0" applyFont="1" applyFill="1" applyAlignment="1">
      <alignment horizontal="center" vertical="center" wrapText="1"/>
    </xf>
    <xf numFmtId="0" fontId="2" fillId="14" borderId="79" xfId="0" applyFont="1" applyFill="1" applyBorder="1" applyAlignment="1">
      <alignment horizontal="center" vertical="center" wrapText="1"/>
    </xf>
    <xf numFmtId="164" fontId="42" fillId="17" borderId="0" xfId="0" applyNumberFormat="1" applyFont="1" applyFill="1" applyAlignment="1">
      <alignment horizontal="left" vertical="center" wrapText="1"/>
    </xf>
    <xf numFmtId="0" fontId="0" fillId="17" borderId="0" xfId="0" applyFill="1" applyAlignment="1">
      <alignment horizontal="left" vertical="center" wrapText="1"/>
    </xf>
    <xf numFmtId="3" fontId="44" fillId="0" borderId="0" xfId="0" applyNumberFormat="1" applyFont="1" applyAlignment="1">
      <alignment horizontal="left" vertical="center" wrapText="1"/>
    </xf>
    <xf numFmtId="0" fontId="45" fillId="0" borderId="0" xfId="0" applyFont="1" applyAlignment="1">
      <alignment horizontal="left"/>
    </xf>
    <xf numFmtId="164" fontId="8" fillId="0" borderId="76" xfId="0" applyNumberFormat="1" applyFont="1" applyBorder="1" applyAlignment="1">
      <alignment horizontal="center" vertical="center"/>
    </xf>
    <xf numFmtId="164" fontId="8" fillId="0" borderId="65" xfId="0" applyNumberFormat="1" applyFont="1" applyBorder="1" applyAlignment="1">
      <alignment horizontal="center" vertical="center"/>
    </xf>
    <xf numFmtId="164" fontId="8" fillId="0" borderId="77" xfId="0" applyNumberFormat="1" applyFont="1" applyBorder="1" applyAlignment="1">
      <alignment horizontal="center" vertical="center"/>
    </xf>
    <xf numFmtId="3" fontId="29" fillId="10" borderId="20" xfId="0" applyNumberFormat="1" applyFont="1" applyFill="1" applyBorder="1" applyAlignment="1">
      <alignment horizontal="center" vertical="center"/>
    </xf>
    <xf numFmtId="164" fontId="29" fillId="10" borderId="20" xfId="0" applyNumberFormat="1" applyFont="1" applyFill="1" applyBorder="1" applyAlignment="1">
      <alignment horizontal="center" vertical="center" wrapText="1"/>
    </xf>
    <xf numFmtId="164" fontId="29" fillId="10" borderId="20" xfId="0" applyNumberFormat="1" applyFont="1" applyFill="1" applyBorder="1" applyAlignment="1">
      <alignment horizontal="center" vertical="center"/>
    </xf>
    <xf numFmtId="3" fontId="9" fillId="10" borderId="20" xfId="0" applyNumberFormat="1" applyFont="1" applyFill="1" applyBorder="1" applyAlignment="1">
      <alignment horizontal="center" vertical="center"/>
    </xf>
    <xf numFmtId="0" fontId="6" fillId="0" borderId="0" xfId="0" applyFont="1" applyAlignment="1">
      <alignment horizontal="left" vertical="center" wrapText="1"/>
    </xf>
    <xf numFmtId="0" fontId="19" fillId="5" borderId="12" xfId="0" applyFont="1" applyFill="1" applyBorder="1" applyAlignment="1">
      <alignment horizontal="center" vertical="center"/>
    </xf>
    <xf numFmtId="0" fontId="19" fillId="5" borderId="12" xfId="0" applyFont="1" applyFill="1" applyBorder="1" applyAlignment="1">
      <alignment vertical="center"/>
    </xf>
    <xf numFmtId="3" fontId="8" fillId="7" borderId="29" xfId="0" applyNumberFormat="1" applyFont="1" applyFill="1" applyBorder="1" applyAlignment="1">
      <alignment horizontal="center" vertical="center"/>
    </xf>
    <xf numFmtId="3" fontId="8" fillId="7" borderId="12" xfId="0" applyNumberFormat="1" applyFont="1" applyFill="1" applyBorder="1" applyAlignment="1">
      <alignment horizontal="center" vertical="center"/>
    </xf>
    <xf numFmtId="3" fontId="8" fillId="7" borderId="16" xfId="0" applyNumberFormat="1" applyFont="1" applyFill="1" applyBorder="1" applyAlignment="1">
      <alignment horizontal="center" vertical="center"/>
    </xf>
    <xf numFmtId="0" fontId="9" fillId="0" borderId="57" xfId="0" applyFont="1" applyBorder="1" applyAlignment="1">
      <alignment horizontal="left" vertical="center" wrapText="1"/>
    </xf>
    <xf numFmtId="0" fontId="9" fillId="0" borderId="33" xfId="0" applyFont="1" applyBorder="1" applyAlignment="1">
      <alignment horizontal="left" vertical="center" wrapText="1"/>
    </xf>
    <xf numFmtId="0" fontId="9" fillId="0" borderId="35" xfId="0" applyFont="1" applyBorder="1" applyAlignment="1">
      <alignment horizontal="left" vertical="center" wrapText="1"/>
    </xf>
    <xf numFmtId="3" fontId="8" fillId="3" borderId="27" xfId="0" applyNumberFormat="1" applyFont="1" applyFill="1" applyBorder="1" applyAlignment="1">
      <alignment horizontal="center" vertical="center"/>
    </xf>
    <xf numFmtId="3" fontId="8" fillId="3" borderId="20" xfId="0" applyNumberFormat="1" applyFont="1" applyFill="1" applyBorder="1" applyAlignment="1">
      <alignment horizontal="center" vertical="center"/>
    </xf>
    <xf numFmtId="3" fontId="8" fillId="0" borderId="21" xfId="0" applyNumberFormat="1" applyFont="1" applyBorder="1" applyAlignment="1">
      <alignment horizontal="center" vertical="center"/>
    </xf>
    <xf numFmtId="164" fontId="8" fillId="5" borderId="31" xfId="0" applyNumberFormat="1" applyFont="1" applyFill="1" applyBorder="1" applyAlignment="1">
      <alignment horizontal="center" vertical="center"/>
    </xf>
    <xf numFmtId="164" fontId="8" fillId="5" borderId="1" xfId="0" applyNumberFormat="1" applyFont="1" applyFill="1" applyBorder="1" applyAlignment="1">
      <alignment horizontal="center" vertical="center"/>
    </xf>
    <xf numFmtId="164" fontId="8" fillId="5" borderId="3" xfId="0" applyNumberFormat="1" applyFont="1" applyFill="1" applyBorder="1" applyAlignment="1">
      <alignment horizontal="center" vertical="center"/>
    </xf>
    <xf numFmtId="0" fontId="19" fillId="2" borderId="12" xfId="0" applyFont="1" applyFill="1" applyBorder="1" applyAlignment="1">
      <alignment horizontal="center" vertical="center" wrapText="1"/>
    </xf>
    <xf numFmtId="0" fontId="19" fillId="0" borderId="12" xfId="0" applyFont="1" applyBorder="1" applyAlignment="1">
      <alignment horizontal="center" vertical="center" wrapText="1"/>
    </xf>
    <xf numFmtId="0" fontId="19" fillId="4" borderId="12" xfId="0" applyFont="1" applyFill="1" applyBorder="1" applyAlignment="1">
      <alignment horizontal="center" vertical="center" wrapText="1"/>
    </xf>
    <xf numFmtId="0" fontId="19" fillId="5" borderId="28" xfId="0" applyFont="1" applyFill="1" applyBorder="1" applyAlignment="1">
      <alignment horizontal="center" vertical="center"/>
    </xf>
    <xf numFmtId="0" fontId="19" fillId="5" borderId="5" xfId="0" applyFont="1" applyFill="1" applyBorder="1" applyAlignment="1">
      <alignment horizontal="center" vertical="center"/>
    </xf>
    <xf numFmtId="0" fontId="19" fillId="5" borderId="9" xfId="0" applyFont="1" applyFill="1" applyBorder="1" applyAlignment="1">
      <alignment horizontal="center" vertical="center"/>
    </xf>
    <xf numFmtId="0" fontId="19" fillId="5" borderId="27" xfId="0" applyFont="1" applyFill="1" applyBorder="1" applyAlignment="1">
      <alignment horizontal="center" vertical="center"/>
    </xf>
    <xf numFmtId="0" fontId="19" fillId="5" borderId="20" xfId="0" applyFont="1" applyFill="1" applyBorder="1" applyAlignment="1">
      <alignment horizontal="center" vertical="center"/>
    </xf>
    <xf numFmtId="0" fontId="19" fillId="5" borderId="21" xfId="0" applyFont="1" applyFill="1" applyBorder="1" applyAlignment="1">
      <alignment horizontal="center" vertical="center"/>
    </xf>
    <xf numFmtId="164" fontId="8" fillId="5" borderId="4" xfId="0" applyNumberFormat="1" applyFont="1" applyFill="1" applyBorder="1" applyAlignment="1">
      <alignment horizontal="center" vertical="center"/>
    </xf>
    <xf numFmtId="0" fontId="19" fillId="6" borderId="12" xfId="0" applyFont="1" applyFill="1" applyBorder="1" applyAlignment="1">
      <alignment horizontal="center" vertical="center"/>
    </xf>
    <xf numFmtId="3" fontId="9" fillId="0" borderId="27" xfId="0" applyNumberFormat="1" applyFont="1" applyBorder="1" applyAlignment="1">
      <alignment horizontal="center" vertical="center"/>
    </xf>
    <xf numFmtId="3" fontId="9" fillId="0" borderId="20" xfId="0" applyNumberFormat="1" applyFont="1" applyBorder="1" applyAlignment="1">
      <alignment horizontal="center" vertical="center"/>
    </xf>
    <xf numFmtId="3" fontId="9" fillId="0" borderId="36" xfId="0" applyNumberFormat="1" applyFont="1" applyBorder="1" applyAlignment="1">
      <alignment horizontal="center" vertical="center"/>
    </xf>
    <xf numFmtId="0" fontId="10" fillId="8" borderId="57" xfId="0" applyFont="1" applyFill="1" applyBorder="1" applyAlignment="1">
      <alignment horizontal="center"/>
    </xf>
    <xf numFmtId="0" fontId="10" fillId="8" borderId="47" xfId="0" applyFont="1" applyFill="1" applyBorder="1" applyAlignment="1">
      <alignment horizontal="center"/>
    </xf>
    <xf numFmtId="0" fontId="10" fillId="8" borderId="33" xfId="0" applyFont="1" applyFill="1" applyBorder="1" applyAlignment="1">
      <alignment horizontal="center"/>
    </xf>
    <xf numFmtId="0" fontId="10" fillId="8" borderId="22" xfId="0" applyFont="1" applyFill="1" applyBorder="1" applyAlignment="1">
      <alignment horizontal="center"/>
    </xf>
    <xf numFmtId="0" fontId="10" fillId="8" borderId="35" xfId="0" applyFont="1" applyFill="1" applyBorder="1" applyAlignment="1">
      <alignment horizontal="center"/>
    </xf>
    <xf numFmtId="0" fontId="10" fillId="8" borderId="50" xfId="0" applyFont="1" applyFill="1" applyBorder="1" applyAlignment="1">
      <alignment horizontal="center"/>
    </xf>
    <xf numFmtId="0" fontId="8" fillId="0" borderId="0" xfId="0" applyFont="1" applyAlignment="1">
      <alignment horizontal="right" vertical="center"/>
    </xf>
    <xf numFmtId="0" fontId="8" fillId="0" borderId="10" xfId="0" applyFont="1" applyBorder="1" applyAlignment="1">
      <alignment horizontal="right" vertical="center"/>
    </xf>
    <xf numFmtId="3" fontId="9" fillId="5" borderId="7" xfId="0" applyNumberFormat="1" applyFont="1" applyFill="1" applyBorder="1" applyAlignment="1">
      <alignment horizontal="center" vertical="center"/>
    </xf>
    <xf numFmtId="3" fontId="9" fillId="5" borderId="9" xfId="0" applyNumberFormat="1" applyFont="1" applyFill="1" applyBorder="1" applyAlignment="1">
      <alignment horizontal="center" vertical="center"/>
    </xf>
    <xf numFmtId="3" fontId="9" fillId="5" borderId="53" xfId="0" applyNumberFormat="1" applyFont="1" applyFill="1" applyBorder="1" applyAlignment="1">
      <alignment horizontal="center" vertical="center"/>
    </xf>
    <xf numFmtId="0" fontId="21" fillId="0" borderId="12" xfId="0" applyFont="1" applyBorder="1" applyAlignment="1">
      <alignment horizontal="center" vertical="center" wrapText="1"/>
    </xf>
    <xf numFmtId="0" fontId="21" fillId="0" borderId="16" xfId="0" applyFont="1" applyBorder="1" applyAlignment="1">
      <alignment horizontal="center" vertical="center" wrapText="1"/>
    </xf>
    <xf numFmtId="0" fontId="19" fillId="0" borderId="16" xfId="0" applyFont="1" applyBorder="1" applyAlignment="1">
      <alignment horizontal="center" vertical="center" wrapText="1"/>
    </xf>
    <xf numFmtId="0" fontId="9" fillId="0" borderId="26" xfId="0" applyFont="1" applyBorder="1" applyAlignment="1">
      <alignment horizontal="left" vertical="center" wrapText="1"/>
    </xf>
    <xf numFmtId="0" fontId="29" fillId="9" borderId="20" xfId="0" applyFont="1" applyFill="1" applyBorder="1" applyAlignment="1">
      <alignment horizontal="center" vertical="center"/>
    </xf>
    <xf numFmtId="0" fontId="29" fillId="9" borderId="25" xfId="0" applyFont="1" applyFill="1" applyBorder="1" applyAlignment="1">
      <alignment horizontal="center" vertical="center"/>
    </xf>
    <xf numFmtId="164" fontId="8" fillId="0" borderId="71" xfId="0" applyNumberFormat="1" applyFont="1" applyBorder="1" applyAlignment="1">
      <alignment horizontal="center" vertical="center"/>
    </xf>
    <xf numFmtId="0" fontId="19" fillId="5" borderId="73" xfId="0" applyFont="1" applyFill="1" applyBorder="1" applyAlignment="1">
      <alignment horizontal="center" vertical="center"/>
    </xf>
    <xf numFmtId="0" fontId="19" fillId="5" borderId="65" xfId="0" applyFont="1" applyFill="1" applyBorder="1" applyAlignment="1">
      <alignment horizontal="center" vertical="center"/>
    </xf>
    <xf numFmtId="3" fontId="8" fillId="3" borderId="74" xfId="0" applyNumberFormat="1" applyFont="1" applyFill="1" applyBorder="1" applyAlignment="1">
      <alignment horizontal="center" vertical="center"/>
    </xf>
    <xf numFmtId="3" fontId="8" fillId="3" borderId="72" xfId="0" applyNumberFormat="1" applyFont="1" applyFill="1" applyBorder="1" applyAlignment="1">
      <alignment horizontal="center" vertical="center"/>
    </xf>
    <xf numFmtId="3" fontId="8" fillId="3" borderId="24" xfId="0" applyNumberFormat="1" applyFont="1" applyFill="1" applyBorder="1" applyAlignment="1">
      <alignment horizontal="center" vertical="center"/>
    </xf>
    <xf numFmtId="0" fontId="28" fillId="0" borderId="22" xfId="0" applyFont="1" applyBorder="1" applyAlignment="1">
      <alignment horizontal="center" vertical="center" wrapText="1"/>
    </xf>
    <xf numFmtId="0" fontId="28" fillId="0" borderId="54" xfId="0" applyFont="1" applyBorder="1" applyAlignment="1">
      <alignment horizontal="center" vertical="center" wrapText="1"/>
    </xf>
    <xf numFmtId="3" fontId="9" fillId="5" borderId="27" xfId="0" applyNumberFormat="1" applyFont="1" applyFill="1" applyBorder="1" applyAlignment="1">
      <alignment horizontal="left" vertical="center" wrapText="1"/>
    </xf>
    <xf numFmtId="3" fontId="9" fillId="0" borderId="20" xfId="0" applyNumberFormat="1" applyFont="1" applyBorder="1" applyAlignment="1">
      <alignment horizontal="left" wrapText="1"/>
    </xf>
    <xf numFmtId="3" fontId="9" fillId="0" borderId="21" xfId="0" applyNumberFormat="1" applyFont="1" applyBorder="1" applyAlignment="1">
      <alignment horizontal="left" wrapText="1"/>
    </xf>
    <xf numFmtId="0" fontId="19" fillId="5" borderId="55" xfId="0" applyFont="1" applyFill="1" applyBorder="1" applyAlignment="1">
      <alignment horizontal="center" vertical="center"/>
    </xf>
    <xf numFmtId="0" fontId="19" fillId="5" borderId="10" xfId="0" applyFont="1" applyFill="1" applyBorder="1" applyAlignment="1">
      <alignment horizontal="center" vertical="center"/>
    </xf>
    <xf numFmtId="0" fontId="19" fillId="5" borderId="42" xfId="0" applyFont="1" applyFill="1" applyBorder="1" applyAlignment="1">
      <alignment horizontal="center" vertical="center"/>
    </xf>
    <xf numFmtId="3" fontId="8" fillId="3" borderId="56" xfId="0" applyNumberFormat="1" applyFont="1" applyFill="1" applyBorder="1" applyAlignment="1">
      <alignment horizontal="center" vertical="center"/>
    </xf>
    <xf numFmtId="3" fontId="8" fillId="3" borderId="11" xfId="0" applyNumberFormat="1" applyFont="1" applyFill="1" applyBorder="1" applyAlignment="1">
      <alignment horizontal="center" vertical="center"/>
    </xf>
    <xf numFmtId="3" fontId="8" fillId="0" borderId="43" xfId="0" applyNumberFormat="1" applyFont="1" applyBorder="1" applyAlignment="1">
      <alignment horizontal="center" vertical="center"/>
    </xf>
    <xf numFmtId="164" fontId="8" fillId="0" borderId="27" xfId="0" applyNumberFormat="1" applyFont="1" applyBorder="1" applyAlignment="1">
      <alignment horizontal="center" vertical="center"/>
    </xf>
    <xf numFmtId="164" fontId="8" fillId="0" borderId="20" xfId="0" applyNumberFormat="1" applyFont="1" applyBorder="1" applyAlignment="1">
      <alignment horizontal="center" vertical="center"/>
    </xf>
    <xf numFmtId="164" fontId="8" fillId="0" borderId="21" xfId="0" applyNumberFormat="1" applyFont="1" applyBorder="1" applyAlignment="1">
      <alignment horizontal="center" vertical="center"/>
    </xf>
    <xf numFmtId="0" fontId="8" fillId="0" borderId="13" xfId="0" applyFont="1" applyBorder="1" applyAlignment="1">
      <alignment horizontal="right" vertical="center"/>
    </xf>
    <xf numFmtId="0" fontId="8" fillId="0" borderId="52" xfId="0" applyFont="1" applyBorder="1" applyAlignment="1">
      <alignment horizontal="right" vertical="center"/>
    </xf>
    <xf numFmtId="0" fontId="28" fillId="0" borderId="13" xfId="0" applyFont="1" applyBorder="1" applyAlignment="1">
      <alignment horizontal="center" vertical="center" wrapText="1"/>
    </xf>
    <xf numFmtId="0" fontId="28" fillId="0" borderId="0" xfId="0" applyFont="1" applyAlignment="1">
      <alignment horizontal="center" vertical="center" wrapText="1"/>
    </xf>
    <xf numFmtId="0" fontId="28" fillId="0" borderId="23" xfId="0" applyFont="1" applyBorder="1" applyAlignment="1">
      <alignment horizontal="center" vertical="center" wrapText="1"/>
    </xf>
    <xf numFmtId="0" fontId="25" fillId="0" borderId="0" xfId="0" applyFont="1" applyAlignment="1">
      <alignment horizontal="left" vertical="center" wrapText="1"/>
    </xf>
    <xf numFmtId="0" fontId="8" fillId="0" borderId="17" xfId="0" applyFont="1" applyBorder="1" applyAlignment="1">
      <alignment horizontal="right" vertical="center"/>
    </xf>
    <xf numFmtId="3" fontId="9" fillId="5" borderId="7" xfId="0" applyNumberFormat="1" applyFont="1" applyFill="1" applyBorder="1" applyAlignment="1">
      <alignment horizontal="center"/>
    </xf>
    <xf numFmtId="3" fontId="9" fillId="5" borderId="9" xfId="0" applyNumberFormat="1" applyFont="1" applyFill="1" applyBorder="1" applyAlignment="1">
      <alignment horizontal="center"/>
    </xf>
    <xf numFmtId="3" fontId="9" fillId="5" borderId="53" xfId="0" applyNumberFormat="1" applyFont="1" applyFill="1" applyBorder="1" applyAlignment="1">
      <alignment horizontal="center"/>
    </xf>
    <xf numFmtId="3" fontId="8" fillId="5" borderId="7" xfId="0" applyNumberFormat="1" applyFont="1" applyFill="1" applyBorder="1" applyAlignment="1">
      <alignment horizontal="center"/>
    </xf>
    <xf numFmtId="3" fontId="8" fillId="5" borderId="9" xfId="0" applyNumberFormat="1" applyFont="1" applyFill="1" applyBorder="1" applyAlignment="1">
      <alignment horizontal="center"/>
    </xf>
    <xf numFmtId="3" fontId="8" fillId="5" borderId="53" xfId="0" applyNumberFormat="1" applyFont="1" applyFill="1" applyBorder="1" applyAlignment="1">
      <alignment horizontal="center"/>
    </xf>
    <xf numFmtId="0" fontId="9" fillId="8" borderId="57" xfId="0" applyFont="1" applyFill="1" applyBorder="1" applyAlignment="1">
      <alignment horizontal="center" vertical="center"/>
    </xf>
    <xf numFmtId="0" fontId="9" fillId="8" borderId="47" xfId="0" applyFont="1" applyFill="1" applyBorder="1" applyAlignment="1">
      <alignment horizontal="center" vertical="center"/>
    </xf>
    <xf numFmtId="0" fontId="9" fillId="8" borderId="33" xfId="0" applyFont="1" applyFill="1" applyBorder="1" applyAlignment="1">
      <alignment horizontal="center" vertical="center"/>
    </xf>
    <xf numFmtId="0" fontId="9" fillId="8" borderId="22" xfId="0" applyFont="1" applyFill="1" applyBorder="1" applyAlignment="1">
      <alignment horizontal="center" vertical="center"/>
    </xf>
    <xf numFmtId="0" fontId="9" fillId="8" borderId="51" xfId="0" applyFont="1" applyFill="1" applyBorder="1" applyAlignment="1">
      <alignment horizontal="center" vertical="center"/>
    </xf>
    <xf numFmtId="0" fontId="9" fillId="8" borderId="54" xfId="0" applyFont="1" applyFill="1" applyBorder="1" applyAlignment="1">
      <alignment horizontal="center" vertical="center"/>
    </xf>
    <xf numFmtId="0" fontId="9" fillId="8" borderId="26" xfId="0" applyFont="1" applyFill="1" applyBorder="1" applyAlignment="1">
      <alignment horizontal="center" vertical="center"/>
    </xf>
    <xf numFmtId="0" fontId="9" fillId="8" borderId="27" xfId="0" applyFont="1" applyFill="1" applyBorder="1" applyAlignment="1">
      <alignment horizontal="center" vertical="center"/>
    </xf>
    <xf numFmtId="0" fontId="9" fillId="8" borderId="20" xfId="0" applyFont="1" applyFill="1" applyBorder="1" applyAlignment="1">
      <alignment horizontal="center" vertical="center"/>
    </xf>
    <xf numFmtId="0" fontId="9" fillId="8" borderId="35" xfId="0" applyFont="1" applyFill="1" applyBorder="1" applyAlignment="1">
      <alignment horizontal="center" vertical="center"/>
    </xf>
    <xf numFmtId="0" fontId="9" fillId="8" borderId="36" xfId="0" applyFont="1" applyFill="1" applyBorder="1" applyAlignment="1">
      <alignment horizontal="center" vertical="center"/>
    </xf>
    <xf numFmtId="3" fontId="9" fillId="0" borderId="47" xfId="0" applyNumberFormat="1" applyFont="1" applyBorder="1" applyAlignment="1">
      <alignment horizontal="center" vertical="center" wrapText="1"/>
    </xf>
    <xf numFmtId="3" fontId="9" fillId="0" borderId="22" xfId="0" applyNumberFormat="1" applyFont="1" applyBorder="1" applyAlignment="1">
      <alignment horizontal="center" vertical="center" wrapText="1"/>
    </xf>
    <xf numFmtId="3" fontId="9" fillId="0" borderId="50" xfId="0" applyNumberFormat="1" applyFont="1" applyBorder="1" applyAlignment="1">
      <alignment horizontal="center" vertical="center" wrapText="1"/>
    </xf>
    <xf numFmtId="164" fontId="8" fillId="5" borderId="44" xfId="0" applyNumberFormat="1" applyFont="1" applyFill="1" applyBorder="1" applyAlignment="1">
      <alignment horizontal="center" vertical="center"/>
    </xf>
    <xf numFmtId="0" fontId="9" fillId="8" borderId="64" xfId="0" applyFont="1" applyFill="1" applyBorder="1" applyAlignment="1">
      <alignment horizontal="center" vertical="center" wrapText="1"/>
    </xf>
    <xf numFmtId="0" fontId="9" fillId="8" borderId="65" xfId="0" applyFont="1" applyFill="1" applyBorder="1" applyAlignment="1">
      <alignment horizontal="center" vertical="center" wrapText="1"/>
    </xf>
    <xf numFmtId="0" fontId="9" fillId="8" borderId="62" xfId="0" applyFont="1" applyFill="1" applyBorder="1" applyAlignment="1">
      <alignment horizontal="center" vertical="center" wrapText="1"/>
    </xf>
    <xf numFmtId="0" fontId="9" fillId="8" borderId="63" xfId="0" applyFont="1" applyFill="1" applyBorder="1" applyAlignment="1">
      <alignment horizontal="center" vertical="center" wrapText="1"/>
    </xf>
    <xf numFmtId="0" fontId="9" fillId="8" borderId="66" xfId="0" applyFont="1" applyFill="1" applyBorder="1" applyAlignment="1">
      <alignment horizontal="center" vertical="center" wrapText="1"/>
    </xf>
    <xf numFmtId="0" fontId="9" fillId="8" borderId="67" xfId="0" applyFont="1" applyFill="1" applyBorder="1" applyAlignment="1">
      <alignment horizontal="center" vertical="center" wrapText="1"/>
    </xf>
    <xf numFmtId="0" fontId="9" fillId="0" borderId="68" xfId="0" applyFont="1" applyBorder="1" applyAlignment="1">
      <alignment horizontal="center" vertical="center" wrapText="1"/>
    </xf>
    <xf numFmtId="0" fontId="9" fillId="0" borderId="64" xfId="0" applyFont="1" applyBorder="1" applyAlignment="1">
      <alignment horizontal="center" vertical="center" wrapText="1"/>
    </xf>
    <xf numFmtId="3" fontId="9" fillId="5" borderId="20" xfId="0" applyNumberFormat="1" applyFont="1" applyFill="1" applyBorder="1" applyAlignment="1">
      <alignment horizontal="center" vertical="center"/>
    </xf>
    <xf numFmtId="3" fontId="9" fillId="5" borderId="21" xfId="0" applyNumberFormat="1" applyFont="1" applyFill="1" applyBorder="1" applyAlignment="1">
      <alignment horizontal="center" vertical="center"/>
    </xf>
    <xf numFmtId="0" fontId="8" fillId="0" borderId="24" xfId="0" applyFont="1" applyBorder="1" applyAlignment="1">
      <alignment horizontal="right" vertical="center"/>
    </xf>
    <xf numFmtId="0" fontId="8" fillId="0" borderId="36" xfId="0" applyFont="1" applyBorder="1" applyAlignment="1">
      <alignment horizontal="right" vertical="center"/>
    </xf>
    <xf numFmtId="164" fontId="8" fillId="0" borderId="36" xfId="0" applyNumberFormat="1" applyFont="1" applyBorder="1" applyAlignment="1">
      <alignment horizontal="center" vertical="center"/>
    </xf>
    <xf numFmtId="164" fontId="8" fillId="0" borderId="25" xfId="0" applyNumberFormat="1" applyFont="1" applyBorder="1" applyAlignment="1">
      <alignment horizontal="center" vertical="center"/>
    </xf>
    <xf numFmtId="164" fontId="8" fillId="5" borderId="27" xfId="0" applyNumberFormat="1" applyFont="1" applyFill="1" applyBorder="1" applyAlignment="1">
      <alignment horizontal="center" vertical="center"/>
    </xf>
    <xf numFmtId="164" fontId="9" fillId="0" borderId="20" xfId="0" applyNumberFormat="1" applyFont="1" applyBorder="1" applyAlignment="1">
      <alignment horizontal="center" vertical="center"/>
    </xf>
    <xf numFmtId="164" fontId="9" fillId="0" borderId="21" xfId="0" applyNumberFormat="1" applyFont="1" applyBorder="1" applyAlignment="1">
      <alignment horizontal="center" vertical="center"/>
    </xf>
    <xf numFmtId="0" fontId="8" fillId="0" borderId="21" xfId="0" applyFont="1" applyBorder="1" applyAlignment="1">
      <alignment horizontal="right" vertical="center"/>
    </xf>
    <xf numFmtId="0" fontId="19" fillId="5" borderId="24" xfId="0" applyFont="1" applyFill="1" applyBorder="1" applyAlignment="1">
      <alignment horizontal="center" vertical="center"/>
    </xf>
    <xf numFmtId="0" fontId="19" fillId="5" borderId="69" xfId="0" applyFont="1" applyFill="1" applyBorder="1" applyAlignment="1">
      <alignment horizontal="center" vertical="center"/>
    </xf>
    <xf numFmtId="3" fontId="8" fillId="3" borderId="73" xfId="0" applyNumberFormat="1" applyFont="1" applyFill="1" applyBorder="1" applyAlignment="1">
      <alignment horizontal="center" vertical="center"/>
    </xf>
    <xf numFmtId="3" fontId="8" fillId="3" borderId="69" xfId="0" applyNumberFormat="1" applyFont="1" applyFill="1" applyBorder="1" applyAlignment="1">
      <alignment horizontal="center" vertical="center"/>
    </xf>
    <xf numFmtId="0" fontId="8" fillId="0" borderId="41" xfId="0" applyFont="1" applyBorder="1" applyAlignment="1">
      <alignment horizontal="right" vertical="center"/>
    </xf>
    <xf numFmtId="0" fontId="8" fillId="0" borderId="42" xfId="0" applyFont="1" applyBorder="1" applyAlignment="1">
      <alignment horizontal="right" vertical="center"/>
    </xf>
    <xf numFmtId="0" fontId="29" fillId="9" borderId="18" xfId="0" applyFont="1" applyFill="1" applyBorder="1" applyAlignment="1">
      <alignment horizontal="center" vertical="center"/>
    </xf>
    <xf numFmtId="0" fontId="29" fillId="9" borderId="19" xfId="0" applyFont="1" applyFill="1" applyBorder="1" applyAlignment="1">
      <alignment horizontal="center" vertical="center"/>
    </xf>
    <xf numFmtId="0" fontId="8" fillId="0" borderId="38" xfId="0" applyFont="1" applyBorder="1" applyAlignment="1">
      <alignment horizontal="right" vertical="center"/>
    </xf>
    <xf numFmtId="0" fontId="8" fillId="0" borderId="39" xfId="0" applyFont="1" applyBorder="1" applyAlignment="1">
      <alignment horizontal="right" vertical="center"/>
    </xf>
    <xf numFmtId="0" fontId="8" fillId="0" borderId="40" xfId="0" applyFont="1" applyBorder="1" applyAlignment="1">
      <alignment horizontal="right" vertical="center"/>
    </xf>
    <xf numFmtId="3" fontId="8" fillId="5" borderId="45" xfId="0" applyNumberFormat="1" applyFont="1" applyFill="1" applyBorder="1" applyAlignment="1">
      <alignment horizontal="center"/>
    </xf>
    <xf numFmtId="3" fontId="8" fillId="5" borderId="37" xfId="0" applyNumberFormat="1" applyFont="1" applyFill="1" applyBorder="1" applyAlignment="1">
      <alignment horizontal="center"/>
    </xf>
    <xf numFmtId="3" fontId="8" fillId="5" borderId="46" xfId="0" applyNumberFormat="1" applyFont="1" applyFill="1" applyBorder="1" applyAlignment="1">
      <alignment horizontal="center"/>
    </xf>
    <xf numFmtId="3" fontId="25" fillId="3" borderId="21" xfId="0" applyNumberFormat="1" applyFont="1" applyFill="1" applyBorder="1" applyAlignment="1">
      <alignment horizontal="center" vertical="center"/>
    </xf>
    <xf numFmtId="3" fontId="25" fillId="3" borderId="24" xfId="0" applyNumberFormat="1" applyFont="1" applyFill="1" applyBorder="1" applyAlignment="1">
      <alignment horizontal="center" vertical="center"/>
    </xf>
    <xf numFmtId="3" fontId="25" fillId="3" borderId="25" xfId="0" applyNumberFormat="1" applyFont="1" applyFill="1" applyBorder="1" applyAlignment="1">
      <alignment horizontal="center" vertical="center"/>
    </xf>
    <xf numFmtId="0" fontId="19" fillId="5" borderId="25" xfId="0" applyFont="1" applyFill="1" applyBorder="1" applyAlignment="1">
      <alignment horizontal="center" vertical="center"/>
    </xf>
    <xf numFmtId="164" fontId="9" fillId="2" borderId="20" xfId="0" applyNumberFormat="1" applyFont="1" applyFill="1" applyBorder="1" applyAlignment="1">
      <alignment horizontal="center" vertical="center"/>
    </xf>
    <xf numFmtId="3" fontId="25" fillId="3" borderId="20" xfId="0" applyNumberFormat="1" applyFont="1" applyFill="1" applyBorder="1" applyAlignment="1">
      <alignment horizontal="center" vertical="center"/>
    </xf>
    <xf numFmtId="0" fontId="30" fillId="0" borderId="21" xfId="0" applyFont="1" applyBorder="1" applyAlignment="1">
      <alignment horizontal="center" vertical="center" wrapText="1"/>
    </xf>
    <xf numFmtId="0" fontId="9" fillId="0" borderId="51" xfId="0" applyFont="1" applyBorder="1" applyAlignment="1">
      <alignment horizontal="left" vertical="center" wrapText="1"/>
    </xf>
    <xf numFmtId="0" fontId="29" fillId="10" borderId="20" xfId="0" applyFont="1" applyFill="1" applyBorder="1" applyAlignment="1">
      <alignment horizontal="center" vertical="center"/>
    </xf>
    <xf numFmtId="164" fontId="9" fillId="10" borderId="20" xfId="0" applyNumberFormat="1" applyFont="1" applyFill="1" applyBorder="1" applyAlignment="1">
      <alignment horizontal="center" vertical="center"/>
    </xf>
    <xf numFmtId="0" fontId="7" fillId="8" borderId="21" xfId="0" applyFont="1" applyFill="1" applyBorder="1" applyAlignment="1">
      <alignment horizontal="center" vertical="center" wrapText="1"/>
    </xf>
    <xf numFmtId="0" fontId="7" fillId="8" borderId="72" xfId="0" applyFont="1" applyFill="1" applyBorder="1" applyAlignment="1">
      <alignment horizontal="center" vertical="center" wrapText="1"/>
    </xf>
    <xf numFmtId="0" fontId="7" fillId="8" borderId="47" xfId="0" applyFont="1" applyFill="1" applyBorder="1" applyAlignment="1">
      <alignment horizontal="center" vertical="center" wrapText="1"/>
    </xf>
    <xf numFmtId="3" fontId="9" fillId="2" borderId="20" xfId="0" applyNumberFormat="1" applyFont="1" applyFill="1" applyBorder="1" applyAlignment="1">
      <alignment horizontal="center" vertical="center"/>
    </xf>
    <xf numFmtId="164" fontId="29" fillId="2" borderId="20" xfId="0" applyNumberFormat="1" applyFont="1" applyFill="1" applyBorder="1" applyAlignment="1">
      <alignment horizontal="center" vertical="center"/>
    </xf>
    <xf numFmtId="0" fontId="7" fillId="0" borderId="20" xfId="0" applyFont="1" applyBorder="1" applyAlignment="1">
      <alignment horizontal="center" vertical="center" wrapText="1"/>
    </xf>
    <xf numFmtId="0" fontId="9" fillId="8" borderId="20" xfId="0" applyFont="1" applyFill="1" applyBorder="1" applyAlignment="1">
      <alignment horizontal="left" vertical="center" wrapText="1"/>
    </xf>
    <xf numFmtId="0" fontId="9" fillId="0" borderId="20" xfId="0" applyFont="1" applyBorder="1" applyAlignment="1">
      <alignment horizontal="left" vertical="center" wrapText="1"/>
    </xf>
    <xf numFmtId="3" fontId="29" fillId="2" borderId="20" xfId="0" applyNumberFormat="1" applyFont="1" applyFill="1" applyBorder="1" applyAlignment="1">
      <alignment horizontal="center" vertical="center"/>
    </xf>
    <xf numFmtId="0" fontId="9" fillId="8" borderId="20" xfId="0" applyFont="1" applyFill="1" applyBorder="1" applyAlignment="1">
      <alignment horizontal="left" vertical="center"/>
    </xf>
    <xf numFmtId="0" fontId="9" fillId="0" borderId="54" xfId="0" applyFont="1" applyBorder="1" applyAlignment="1">
      <alignment horizontal="left" vertical="center" wrapText="1"/>
    </xf>
    <xf numFmtId="0" fontId="9" fillId="0" borderId="76" xfId="0" applyFont="1" applyBorder="1" applyAlignment="1">
      <alignment horizontal="left" vertical="center" wrapText="1"/>
    </xf>
    <xf numFmtId="0" fontId="9" fillId="0" borderId="72" xfId="0" applyFont="1" applyBorder="1" applyAlignment="1">
      <alignment horizontal="left" vertical="center" wrapText="1"/>
    </xf>
    <xf numFmtId="0" fontId="9" fillId="0" borderId="65" xfId="0" applyFont="1" applyBorder="1" applyAlignment="1">
      <alignment horizontal="left" vertical="center" wrapText="1"/>
    </xf>
    <xf numFmtId="0" fontId="9" fillId="0" borderId="47" xfId="0" applyFont="1" applyBorder="1" applyAlignment="1">
      <alignment horizontal="left" vertical="center" wrapText="1"/>
    </xf>
    <xf numFmtId="0" fontId="9" fillId="0" borderId="77" xfId="0" applyFont="1" applyBorder="1" applyAlignment="1">
      <alignment horizontal="left" vertical="center" wrapText="1"/>
    </xf>
    <xf numFmtId="0" fontId="19" fillId="5" borderId="86" xfId="0" applyFont="1" applyFill="1" applyBorder="1" applyAlignment="1">
      <alignment horizontal="center" vertical="center"/>
    </xf>
    <xf numFmtId="0" fontId="19" fillId="5" borderId="87" xfId="0" applyFont="1" applyFill="1" applyBorder="1" applyAlignment="1">
      <alignment horizontal="center" vertical="center"/>
    </xf>
    <xf numFmtId="0" fontId="19" fillId="5" borderId="88" xfId="0" applyFont="1" applyFill="1" applyBorder="1" applyAlignment="1">
      <alignment horizontal="center" vertical="center"/>
    </xf>
    <xf numFmtId="3" fontId="9" fillId="5" borderId="45" xfId="0" applyNumberFormat="1" applyFont="1" applyFill="1" applyBorder="1" applyAlignment="1">
      <alignment horizontal="center" vertical="center"/>
    </xf>
    <xf numFmtId="3" fontId="9" fillId="5" borderId="37" xfId="0" applyNumberFormat="1" applyFont="1" applyFill="1" applyBorder="1" applyAlignment="1">
      <alignment horizontal="center" vertical="center"/>
    </xf>
    <xf numFmtId="3" fontId="9" fillId="5" borderId="92" xfId="0" applyNumberFormat="1" applyFont="1" applyFill="1" applyBorder="1" applyAlignment="1">
      <alignment horizontal="center" vertical="center"/>
    </xf>
    <xf numFmtId="3" fontId="9" fillId="5" borderId="45" xfId="0" applyNumberFormat="1" applyFont="1" applyFill="1" applyBorder="1" applyAlignment="1">
      <alignment horizontal="center"/>
    </xf>
    <xf numFmtId="3" fontId="9" fillId="5" borderId="37" xfId="0" applyNumberFormat="1" applyFont="1" applyFill="1" applyBorder="1" applyAlignment="1">
      <alignment horizontal="center"/>
    </xf>
    <xf numFmtId="3" fontId="9" fillId="5" borderId="92" xfId="0" applyNumberFormat="1" applyFont="1" applyFill="1" applyBorder="1" applyAlignment="1">
      <alignment horizontal="center"/>
    </xf>
    <xf numFmtId="3" fontId="8" fillId="5" borderId="92" xfId="0" applyNumberFormat="1" applyFont="1" applyFill="1" applyBorder="1" applyAlignment="1">
      <alignment horizontal="center"/>
    </xf>
    <xf numFmtId="3" fontId="8" fillId="5" borderId="103" xfId="0" applyNumberFormat="1" applyFont="1" applyFill="1" applyBorder="1" applyAlignment="1">
      <alignment horizontal="center"/>
    </xf>
    <xf numFmtId="3" fontId="8" fillId="5" borderId="104" xfId="0" applyNumberFormat="1" applyFont="1" applyFill="1" applyBorder="1" applyAlignment="1">
      <alignment horizontal="center"/>
    </xf>
    <xf numFmtId="3" fontId="8" fillId="5" borderId="105" xfId="0" applyNumberFormat="1" applyFont="1" applyFill="1" applyBorder="1" applyAlignment="1">
      <alignment horizontal="center"/>
    </xf>
    <xf numFmtId="0" fontId="29" fillId="9" borderId="83" xfId="0" applyFont="1" applyFill="1" applyBorder="1" applyAlignment="1">
      <alignment horizontal="center" vertical="center"/>
    </xf>
    <xf numFmtId="0" fontId="29" fillId="9" borderId="0" xfId="0" applyFont="1" applyFill="1" applyAlignment="1">
      <alignment horizontal="center" vertical="center"/>
    </xf>
    <xf numFmtId="0" fontId="28" fillId="0" borderId="90" xfId="0" applyFont="1" applyBorder="1" applyAlignment="1">
      <alignment horizontal="center" vertical="center" wrapText="1"/>
    </xf>
    <xf numFmtId="0" fontId="28" fillId="0" borderId="93" xfId="0" applyFont="1" applyBorder="1" applyAlignment="1">
      <alignment horizontal="center" vertical="center" wrapText="1"/>
    </xf>
    <xf numFmtId="0" fontId="21" fillId="0" borderId="84" xfId="0" applyFont="1" applyBorder="1" applyAlignment="1">
      <alignment horizontal="center" vertical="center" wrapText="1"/>
    </xf>
    <xf numFmtId="0" fontId="21" fillId="0" borderId="89" xfId="0" applyFont="1" applyBorder="1" applyAlignment="1">
      <alignment horizontal="center" vertical="center" wrapText="1"/>
    </xf>
    <xf numFmtId="0" fontId="19" fillId="0" borderId="85" xfId="0" applyFont="1" applyBorder="1" applyAlignment="1">
      <alignment horizontal="center" vertical="center" wrapText="1"/>
    </xf>
    <xf numFmtId="0" fontId="19" fillId="6" borderId="85" xfId="0" applyFont="1" applyFill="1" applyBorder="1" applyAlignment="1">
      <alignment horizontal="center" vertical="center"/>
    </xf>
    <xf numFmtId="0" fontId="19" fillId="2" borderId="85" xfId="0" applyFont="1" applyFill="1" applyBorder="1" applyAlignment="1">
      <alignment horizontal="center" vertical="center" wrapText="1"/>
    </xf>
    <xf numFmtId="0" fontId="19" fillId="4" borderId="85" xfId="0" applyFont="1" applyFill="1" applyBorder="1" applyAlignment="1">
      <alignment horizontal="center" vertical="center" wrapText="1"/>
    </xf>
    <xf numFmtId="0" fontId="9" fillId="8" borderId="94" xfId="0" applyFont="1" applyFill="1" applyBorder="1" applyAlignment="1">
      <alignment horizontal="center" vertical="center"/>
    </xf>
    <xf numFmtId="0" fontId="9" fillId="8" borderId="95" xfId="0" applyFont="1" applyFill="1" applyBorder="1" applyAlignment="1">
      <alignment horizontal="center" vertical="center"/>
    </xf>
    <xf numFmtId="0" fontId="19" fillId="5" borderId="96" xfId="0" applyFont="1" applyFill="1" applyBorder="1" applyAlignment="1">
      <alignment horizontal="center" vertical="center"/>
    </xf>
    <xf numFmtId="3" fontId="8" fillId="0" borderId="97" xfId="0" applyNumberFormat="1" applyFont="1" applyBorder="1" applyAlignment="1">
      <alignment horizontal="center" vertical="center"/>
    </xf>
    <xf numFmtId="164" fontId="8" fillId="5" borderId="101" xfId="0" applyNumberFormat="1" applyFont="1" applyFill="1" applyBorder="1" applyAlignment="1">
      <alignment horizontal="center" vertical="center"/>
    </xf>
    <xf numFmtId="0" fontId="8" fillId="0" borderId="98" xfId="0" applyFont="1" applyBorder="1" applyAlignment="1">
      <alignment horizontal="right" vertical="center"/>
    </xf>
    <xf numFmtId="0" fontId="8" fillId="0" borderId="99" xfId="0" applyFont="1" applyBorder="1" applyAlignment="1">
      <alignment horizontal="right" vertical="center"/>
    </xf>
    <xf numFmtId="0" fontId="8" fillId="0" borderId="100" xfId="0" applyFont="1" applyBorder="1" applyAlignment="1">
      <alignment horizontal="right" vertical="center"/>
    </xf>
    <xf numFmtId="0" fontId="8" fillId="0" borderId="102" xfId="0" applyFont="1" applyBorder="1" applyAlignment="1">
      <alignment horizontal="right" vertical="center"/>
    </xf>
    <xf numFmtId="0" fontId="8" fillId="0" borderId="96" xfId="0" applyFont="1" applyBorder="1" applyAlignment="1">
      <alignment horizontal="right" vertical="center"/>
    </xf>
    <xf numFmtId="0" fontId="19" fillId="5" borderId="1" xfId="0" applyFont="1" applyFill="1" applyBorder="1" applyAlignment="1">
      <alignment horizontal="center" vertical="center"/>
    </xf>
    <xf numFmtId="3" fontId="9" fillId="5" borderId="1" xfId="0" applyNumberFormat="1" applyFont="1" applyFill="1" applyBorder="1" applyAlignment="1">
      <alignment horizontal="center" vertical="center"/>
    </xf>
    <xf numFmtId="3" fontId="9" fillId="5" borderId="91" xfId="0" applyNumberFormat="1" applyFont="1" applyFill="1" applyBorder="1" applyAlignment="1">
      <alignment horizontal="center" vertical="center"/>
    </xf>
    <xf numFmtId="3" fontId="9" fillId="5" borderId="1" xfId="0" applyNumberFormat="1" applyFont="1" applyFill="1" applyBorder="1" applyAlignment="1">
      <alignment horizontal="center"/>
    </xf>
    <xf numFmtId="3" fontId="9" fillId="5" borderId="91" xfId="0" applyNumberFormat="1" applyFont="1" applyFill="1" applyBorder="1" applyAlignment="1">
      <alignment horizontal="center"/>
    </xf>
    <xf numFmtId="3" fontId="8" fillId="5" borderId="101" xfId="0" applyNumberFormat="1" applyFont="1" applyFill="1" applyBorder="1" applyAlignment="1">
      <alignment horizontal="center"/>
    </xf>
    <xf numFmtId="3" fontId="8" fillId="5" borderId="121" xfId="0" applyNumberFormat="1" applyFont="1" applyFill="1" applyBorder="1" applyAlignment="1">
      <alignment horizontal="center"/>
    </xf>
    <xf numFmtId="3" fontId="8" fillId="5" borderId="1" xfId="0" applyNumberFormat="1" applyFont="1" applyFill="1" applyBorder="1" applyAlignment="1">
      <alignment horizontal="center"/>
    </xf>
    <xf numFmtId="3" fontId="8" fillId="5" borderId="91" xfId="0" applyNumberFormat="1" applyFont="1" applyFill="1" applyBorder="1" applyAlignment="1">
      <alignment horizontal="center"/>
    </xf>
    <xf numFmtId="3" fontId="8" fillId="7" borderId="84" xfId="0" applyNumberFormat="1" applyFont="1" applyFill="1" applyBorder="1" applyAlignment="1">
      <alignment horizontal="center" vertical="center"/>
    </xf>
    <xf numFmtId="3" fontId="8" fillId="7" borderId="114" xfId="0" applyNumberFormat="1" applyFont="1" applyFill="1" applyBorder="1" applyAlignment="1">
      <alignment horizontal="center" vertical="center"/>
    </xf>
    <xf numFmtId="3" fontId="8" fillId="7" borderId="89" xfId="0" applyNumberFormat="1" applyFont="1" applyFill="1" applyBorder="1" applyAlignment="1">
      <alignment horizontal="center" vertical="center"/>
    </xf>
    <xf numFmtId="164" fontId="8" fillId="5" borderId="112" xfId="0" applyNumberFormat="1" applyFont="1" applyFill="1" applyBorder="1" applyAlignment="1">
      <alignment horizontal="center" vertical="center"/>
    </xf>
    <xf numFmtId="0" fontId="19" fillId="4" borderId="14" xfId="0" applyFont="1" applyFill="1" applyBorder="1" applyAlignment="1">
      <alignment horizontal="center" vertical="center" wrapText="1"/>
    </xf>
    <xf numFmtId="0" fontId="19" fillId="5" borderId="82" xfId="0" applyFont="1" applyFill="1" applyBorder="1" applyAlignment="1">
      <alignment horizontal="center" vertical="center"/>
    </xf>
    <xf numFmtId="0" fontId="19" fillId="5" borderId="22" xfId="0" applyFont="1" applyFill="1" applyBorder="1" applyAlignment="1">
      <alignment horizontal="center" vertical="center"/>
    </xf>
    <xf numFmtId="0" fontId="19" fillId="5" borderId="54" xfId="0" applyFont="1" applyFill="1" applyBorder="1" applyAlignment="1">
      <alignment horizontal="center" vertical="center"/>
    </xf>
    <xf numFmtId="3" fontId="8" fillId="3" borderId="115" xfId="0" applyNumberFormat="1" applyFont="1" applyFill="1" applyBorder="1" applyAlignment="1">
      <alignment horizontal="center" vertical="center"/>
    </xf>
    <xf numFmtId="3" fontId="8" fillId="3" borderId="116" xfId="0" applyNumberFormat="1" applyFont="1" applyFill="1" applyBorder="1" applyAlignment="1">
      <alignment horizontal="center" vertical="center"/>
    </xf>
    <xf numFmtId="3" fontId="8" fillId="0" borderId="117" xfId="0" applyNumberFormat="1" applyFont="1" applyBorder="1" applyAlignment="1">
      <alignment horizontal="center" vertical="center"/>
    </xf>
    <xf numFmtId="0" fontId="19" fillId="5" borderId="110" xfId="0" applyFont="1" applyFill="1" applyBorder="1" applyAlignment="1">
      <alignment horizontal="center" vertical="center"/>
    </xf>
    <xf numFmtId="0" fontId="19" fillId="5" borderId="0" xfId="0" applyFont="1" applyFill="1" applyAlignment="1">
      <alignment horizontal="center" vertical="center"/>
    </xf>
    <xf numFmtId="0" fontId="19" fillId="5" borderId="41" xfId="0" applyFont="1" applyFill="1" applyBorder="1" applyAlignment="1">
      <alignment horizontal="center" vertical="center"/>
    </xf>
    <xf numFmtId="3" fontId="8" fillId="3" borderId="118" xfId="0" applyNumberFormat="1" applyFont="1" applyFill="1" applyBorder="1" applyAlignment="1">
      <alignment horizontal="center" vertical="center"/>
    </xf>
    <xf numFmtId="3" fontId="8" fillId="3" borderId="119" xfId="0" applyNumberFormat="1" applyFont="1" applyFill="1" applyBorder="1" applyAlignment="1">
      <alignment horizontal="center" vertical="center"/>
    </xf>
    <xf numFmtId="3" fontId="8" fillId="0" borderId="120" xfId="0" applyNumberFormat="1" applyFont="1" applyBorder="1" applyAlignment="1">
      <alignment horizontal="center" vertical="center"/>
    </xf>
    <xf numFmtId="164" fontId="8" fillId="2" borderId="20" xfId="0" applyNumberFormat="1" applyFont="1" applyFill="1" applyBorder="1" applyAlignment="1">
      <alignment horizontal="center" vertical="center"/>
    </xf>
    <xf numFmtId="164" fontId="8" fillId="5" borderId="2" xfId="0" applyNumberFormat="1" applyFont="1" applyFill="1" applyBorder="1" applyAlignment="1">
      <alignment horizontal="center" vertical="center"/>
    </xf>
  </cellXfs>
  <cellStyles count="2">
    <cellStyle name="Įprastas" xfId="0" builtinId="0"/>
    <cellStyle name="Įprastas 2" xfId="1" xr:uid="{2ED152F5-05AB-4652-9246-760E105C5B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13</xdr:col>
      <xdr:colOff>29121</xdr:colOff>
      <xdr:row>34</xdr:row>
      <xdr:rowOff>38915</xdr:rowOff>
    </xdr:from>
    <xdr:to>
      <xdr:col>17</xdr:col>
      <xdr:colOff>473128</xdr:colOff>
      <xdr:row>38</xdr:row>
      <xdr:rowOff>131843</xdr:rowOff>
    </xdr:to>
    <xdr:pic>
      <xdr:nvPicPr>
        <xdr:cNvPr id="7" name="Paveikslėlis 6">
          <a:extLst>
            <a:ext uri="{FF2B5EF4-FFF2-40B4-BE49-F238E27FC236}">
              <a16:creationId xmlns:a16="http://schemas.microsoft.com/office/drawing/2014/main" id="{2114A294-9E26-415B-897C-DDAF6705DA5E}"/>
            </a:ext>
          </a:extLst>
        </xdr:cNvPr>
        <xdr:cNvPicPr>
          <a:picLocks noChangeAspect="1"/>
        </xdr:cNvPicPr>
      </xdr:nvPicPr>
      <xdr:blipFill>
        <a:blip xmlns:r="http://schemas.openxmlformats.org/officeDocument/2006/relationships" r:embed="rId1"/>
        <a:stretch>
          <a:fillRect/>
        </a:stretch>
      </xdr:blipFill>
      <xdr:spPr>
        <a:xfrm>
          <a:off x="13511532" y="14779986"/>
          <a:ext cx="5455971" cy="864000"/>
        </a:xfrm>
        <a:prstGeom prst="rect">
          <a:avLst/>
        </a:prstGeom>
      </xdr:spPr>
    </xdr:pic>
    <xdr:clientData/>
  </xdr:twoCellAnchor>
  <xdr:twoCellAnchor editAs="oneCell">
    <xdr:from>
      <xdr:col>1</xdr:col>
      <xdr:colOff>92255</xdr:colOff>
      <xdr:row>34</xdr:row>
      <xdr:rowOff>33654</xdr:rowOff>
    </xdr:from>
    <xdr:to>
      <xdr:col>5</xdr:col>
      <xdr:colOff>678299</xdr:colOff>
      <xdr:row>38</xdr:row>
      <xdr:rowOff>126582</xdr:rowOff>
    </xdr:to>
    <xdr:pic>
      <xdr:nvPicPr>
        <xdr:cNvPr id="2" name="Paveikslėlis 1">
          <a:extLst>
            <a:ext uri="{FF2B5EF4-FFF2-40B4-BE49-F238E27FC236}">
              <a16:creationId xmlns:a16="http://schemas.microsoft.com/office/drawing/2014/main" id="{51EFB976-62EA-4C9C-C9DC-5107417D17E1}"/>
            </a:ext>
          </a:extLst>
        </xdr:cNvPr>
        <xdr:cNvPicPr>
          <a:picLocks noChangeAspect="1"/>
        </xdr:cNvPicPr>
      </xdr:nvPicPr>
      <xdr:blipFill>
        <a:blip xmlns:r="http://schemas.openxmlformats.org/officeDocument/2006/relationships" r:embed="rId2"/>
        <a:stretch>
          <a:fillRect/>
        </a:stretch>
      </xdr:blipFill>
      <xdr:spPr>
        <a:xfrm>
          <a:off x="704576" y="14774725"/>
          <a:ext cx="5802116" cy="864000"/>
        </a:xfrm>
        <a:prstGeom prst="rect">
          <a:avLst/>
        </a:prstGeom>
      </xdr:spPr>
    </xdr:pic>
    <xdr:clientData/>
  </xdr:twoCellAnchor>
  <xdr:twoCellAnchor editAs="oneCell">
    <xdr:from>
      <xdr:col>7</xdr:col>
      <xdr:colOff>52520</xdr:colOff>
      <xdr:row>34</xdr:row>
      <xdr:rowOff>42724</xdr:rowOff>
    </xdr:from>
    <xdr:to>
      <xdr:col>11</xdr:col>
      <xdr:colOff>707971</xdr:colOff>
      <xdr:row>38</xdr:row>
      <xdr:rowOff>135652</xdr:rowOff>
    </xdr:to>
    <xdr:pic>
      <xdr:nvPicPr>
        <xdr:cNvPr id="4" name="Paveikslėlis 3">
          <a:extLst>
            <a:ext uri="{FF2B5EF4-FFF2-40B4-BE49-F238E27FC236}">
              <a16:creationId xmlns:a16="http://schemas.microsoft.com/office/drawing/2014/main" id="{C171067D-4DB9-ED34-D024-92B7E9B0F3F4}"/>
            </a:ext>
          </a:extLst>
        </xdr:cNvPr>
        <xdr:cNvPicPr>
          <a:picLocks noChangeAspect="1"/>
        </xdr:cNvPicPr>
      </xdr:nvPicPr>
      <xdr:blipFill>
        <a:blip xmlns:r="http://schemas.openxmlformats.org/officeDocument/2006/relationships" r:embed="rId3"/>
        <a:stretch>
          <a:fillRect/>
        </a:stretch>
      </xdr:blipFill>
      <xdr:spPr>
        <a:xfrm>
          <a:off x="7037520" y="14783795"/>
          <a:ext cx="6007594" cy="864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10</xdr:col>
      <xdr:colOff>56105</xdr:colOff>
      <xdr:row>28</xdr:row>
      <xdr:rowOff>92134</xdr:rowOff>
    </xdr:to>
    <xdr:pic>
      <xdr:nvPicPr>
        <xdr:cNvPr id="2" name="Paveikslėlis 1">
          <a:extLst>
            <a:ext uri="{FF2B5EF4-FFF2-40B4-BE49-F238E27FC236}">
              <a16:creationId xmlns:a16="http://schemas.microsoft.com/office/drawing/2014/main" id="{86A4DAFE-86F1-2A15-EA09-109CA7E02E09}"/>
            </a:ext>
          </a:extLst>
        </xdr:cNvPr>
        <xdr:cNvPicPr>
          <a:picLocks noChangeAspect="1"/>
        </xdr:cNvPicPr>
      </xdr:nvPicPr>
      <xdr:blipFill>
        <a:blip xmlns:r="http://schemas.openxmlformats.org/officeDocument/2006/relationships" r:embed="rId1"/>
        <a:stretch>
          <a:fillRect/>
        </a:stretch>
      </xdr:blipFill>
      <xdr:spPr>
        <a:xfrm>
          <a:off x="0" y="180975"/>
          <a:ext cx="6163535" cy="4972744"/>
        </a:xfrm>
        <a:prstGeom prst="rect">
          <a:avLst/>
        </a:prstGeom>
      </xdr:spPr>
    </xdr:pic>
    <xdr:clientData/>
  </xdr:twoCellAnchor>
  <xdr:twoCellAnchor editAs="oneCell">
    <xdr:from>
      <xdr:col>9</xdr:col>
      <xdr:colOff>436245</xdr:colOff>
      <xdr:row>5</xdr:row>
      <xdr:rowOff>140970</xdr:rowOff>
    </xdr:from>
    <xdr:to>
      <xdr:col>21</xdr:col>
      <xdr:colOff>96222</xdr:colOff>
      <xdr:row>26</xdr:row>
      <xdr:rowOff>53857</xdr:rowOff>
    </xdr:to>
    <xdr:pic>
      <xdr:nvPicPr>
        <xdr:cNvPr id="3" name="Paveikslėlis 2">
          <a:extLst>
            <a:ext uri="{FF2B5EF4-FFF2-40B4-BE49-F238E27FC236}">
              <a16:creationId xmlns:a16="http://schemas.microsoft.com/office/drawing/2014/main" id="{77FEC53A-2C2B-9568-71C1-69B27728EBDB}"/>
            </a:ext>
          </a:extLst>
        </xdr:cNvPr>
        <xdr:cNvPicPr>
          <a:picLocks noChangeAspect="1"/>
        </xdr:cNvPicPr>
      </xdr:nvPicPr>
      <xdr:blipFill>
        <a:blip xmlns:r="http://schemas.openxmlformats.org/officeDocument/2006/relationships" r:embed="rId2"/>
        <a:stretch>
          <a:fillRect/>
        </a:stretch>
      </xdr:blipFill>
      <xdr:spPr>
        <a:xfrm>
          <a:off x="5922645" y="1045845"/>
          <a:ext cx="6967557" cy="3713362"/>
        </a:xfrm>
        <a:prstGeom prst="rect">
          <a:avLst/>
        </a:prstGeom>
      </xdr:spPr>
    </xdr:pic>
    <xdr:clientData/>
  </xdr:two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CA603-94BC-4F39-B116-3E636778BBFE}">
  <dimension ref="A1:Y17"/>
  <sheetViews>
    <sheetView zoomScale="70" zoomScaleNormal="70" workbookViewId="0">
      <selection activeCell="J24" sqref="J24"/>
    </sheetView>
  </sheetViews>
  <sheetFormatPr defaultRowHeight="14.4" x14ac:dyDescent="0.3"/>
  <cols>
    <col min="1" max="1" width="38.5546875" customWidth="1"/>
    <col min="2" max="25" width="13.6640625" customWidth="1"/>
  </cols>
  <sheetData>
    <row r="1" spans="1:25" s="2" customFormat="1" ht="14.4" customHeight="1" x14ac:dyDescent="0.3">
      <c r="B1" s="307" t="s">
        <v>147</v>
      </c>
      <c r="C1" s="307"/>
      <c r="D1" s="307"/>
      <c r="E1" s="307"/>
      <c r="F1" s="307"/>
      <c r="G1" s="307"/>
      <c r="H1" s="307"/>
      <c r="I1" s="307"/>
      <c r="J1" s="307"/>
      <c r="K1" s="307"/>
      <c r="L1" s="307"/>
      <c r="M1" s="307"/>
      <c r="N1" s="307"/>
      <c r="O1" s="307"/>
      <c r="P1" s="307"/>
      <c r="Q1" s="307"/>
      <c r="R1" s="307"/>
      <c r="S1" s="307"/>
      <c r="T1" s="307"/>
      <c r="U1" s="307"/>
      <c r="V1" s="307"/>
      <c r="W1" s="307"/>
      <c r="X1" s="307"/>
      <c r="Y1" s="307"/>
    </row>
    <row r="2" spans="1:25" s="2" customFormat="1" ht="15.75" customHeight="1" x14ac:dyDescent="0.3">
      <c r="B2" s="307"/>
      <c r="C2" s="307"/>
      <c r="D2" s="307"/>
      <c r="E2" s="307"/>
      <c r="F2" s="307"/>
      <c r="G2" s="307"/>
      <c r="H2" s="307"/>
      <c r="I2" s="307"/>
      <c r="J2" s="307"/>
      <c r="K2" s="307"/>
      <c r="L2" s="307"/>
      <c r="M2" s="307"/>
      <c r="N2" s="307"/>
      <c r="O2" s="307"/>
      <c r="P2" s="307"/>
      <c r="Q2" s="307"/>
      <c r="R2" s="307"/>
      <c r="S2" s="307"/>
      <c r="T2" s="307"/>
      <c r="U2" s="307"/>
      <c r="V2" s="307"/>
      <c r="W2" s="307"/>
      <c r="X2" s="307"/>
      <c r="Y2" s="307"/>
    </row>
    <row r="3" spans="1:25" s="2" customFormat="1" ht="28.5" customHeight="1" x14ac:dyDescent="0.3">
      <c r="A3" s="3"/>
      <c r="B3" s="308">
        <v>2023</v>
      </c>
      <c r="C3" s="308"/>
      <c r="D3" s="308"/>
      <c r="E3" s="308"/>
      <c r="F3" s="308"/>
      <c r="G3" s="308"/>
      <c r="H3" s="308">
        <v>2024</v>
      </c>
      <c r="I3" s="308"/>
      <c r="J3" s="308"/>
      <c r="K3" s="308"/>
      <c r="L3" s="308"/>
      <c r="M3" s="308"/>
      <c r="N3" s="308">
        <v>2025</v>
      </c>
      <c r="O3" s="308"/>
      <c r="P3" s="308"/>
      <c r="Q3" s="308"/>
      <c r="R3" s="308"/>
      <c r="S3" s="308"/>
      <c r="T3" s="308">
        <v>2026</v>
      </c>
      <c r="U3" s="308"/>
      <c r="V3" s="308"/>
      <c r="W3" s="308"/>
      <c r="X3" s="308"/>
      <c r="Y3" s="308"/>
    </row>
    <row r="4" spans="1:25" s="2" customFormat="1" ht="28.5" customHeight="1" x14ac:dyDescent="0.3">
      <c r="A4" s="137"/>
      <c r="B4" s="305" t="s">
        <v>53</v>
      </c>
      <c r="C4" s="306"/>
      <c r="D4" s="306"/>
      <c r="E4" s="303" t="s">
        <v>155</v>
      </c>
      <c r="F4" s="304"/>
      <c r="G4" s="304"/>
      <c r="H4" s="305" t="s">
        <v>53</v>
      </c>
      <c r="I4" s="306"/>
      <c r="J4" s="306"/>
      <c r="K4" s="303" t="s">
        <v>155</v>
      </c>
      <c r="L4" s="304"/>
      <c r="M4" s="304"/>
      <c r="N4" s="305" t="s">
        <v>53</v>
      </c>
      <c r="O4" s="306"/>
      <c r="P4" s="306"/>
      <c r="Q4" s="303" t="s">
        <v>155</v>
      </c>
      <c r="R4" s="304"/>
      <c r="S4" s="304"/>
      <c r="T4" s="305" t="s">
        <v>53</v>
      </c>
      <c r="U4" s="306"/>
      <c r="V4" s="306"/>
      <c r="W4" s="303" t="s">
        <v>155</v>
      </c>
      <c r="X4" s="304"/>
      <c r="Y4" s="304"/>
    </row>
    <row r="5" spans="1:25" s="2" customFormat="1" ht="39.75" customHeight="1" x14ac:dyDescent="0.3">
      <c r="A5" s="123"/>
      <c r="B5" s="201" t="s">
        <v>24</v>
      </c>
      <c r="C5" s="202" t="s">
        <v>49</v>
      </c>
      <c r="D5" s="202" t="s">
        <v>29</v>
      </c>
      <c r="E5" s="209" t="s">
        <v>24</v>
      </c>
      <c r="F5" s="210" t="s">
        <v>49</v>
      </c>
      <c r="G5" s="210" t="s">
        <v>29</v>
      </c>
      <c r="H5" s="130" t="s">
        <v>24</v>
      </c>
      <c r="I5" s="131" t="s">
        <v>49</v>
      </c>
      <c r="J5" s="131" t="s">
        <v>29</v>
      </c>
      <c r="K5" s="209" t="s">
        <v>24</v>
      </c>
      <c r="L5" s="210" t="s">
        <v>49</v>
      </c>
      <c r="M5" s="210" t="s">
        <v>29</v>
      </c>
      <c r="N5" s="130" t="s">
        <v>24</v>
      </c>
      <c r="O5" s="131" t="s">
        <v>49</v>
      </c>
      <c r="P5" s="131" t="s">
        <v>29</v>
      </c>
      <c r="Q5" s="209" t="s">
        <v>24</v>
      </c>
      <c r="R5" s="210" t="s">
        <v>49</v>
      </c>
      <c r="S5" s="210" t="s">
        <v>29</v>
      </c>
      <c r="T5" s="130" t="s">
        <v>24</v>
      </c>
      <c r="U5" s="131" t="s">
        <v>49</v>
      </c>
      <c r="V5" s="131" t="s">
        <v>29</v>
      </c>
      <c r="W5" s="209" t="s">
        <v>24</v>
      </c>
      <c r="X5" s="210" t="s">
        <v>49</v>
      </c>
      <c r="Y5" s="210" t="s">
        <v>29</v>
      </c>
    </row>
    <row r="6" spans="1:25" s="2" customFormat="1" ht="28.5" customHeight="1" x14ac:dyDescent="0.3">
      <c r="A6" s="198" t="str">
        <f>ipp_namie</f>
        <v>IPP paslaugos namie</v>
      </c>
      <c r="B6" s="203">
        <f>vb_namie_2023</f>
        <v>56310681.600000001</v>
      </c>
      <c r="C6" s="203">
        <f>am_namie_2023</f>
        <v>4238438.4000000004</v>
      </c>
      <c r="D6" s="204">
        <f>psdf_namie_2023</f>
        <v>37454976</v>
      </c>
      <c r="E6" s="211">
        <f>'I alternatyva'!Q3</f>
        <v>13588276.5</v>
      </c>
      <c r="F6" s="211">
        <f>'I alternatyva'!Q4</f>
        <v>1022773.5000000001</v>
      </c>
      <c r="G6" s="211">
        <f>'I alternatyva'!Q5</f>
        <v>0</v>
      </c>
      <c r="H6" s="203">
        <f>vb_namie_2024</f>
        <v>59918400</v>
      </c>
      <c r="I6" s="203">
        <f>am_namie_2024</f>
        <v>3153600</v>
      </c>
      <c r="J6" s="204">
        <f>psdf_namie_2024</f>
        <v>39564600</v>
      </c>
      <c r="K6" s="211">
        <f>'I alternatyva'!Q7</f>
        <v>13880497.5</v>
      </c>
      <c r="L6" s="211">
        <f>'I alternatyva'!Q8</f>
        <v>730552.5</v>
      </c>
      <c r="M6" s="211">
        <f>'I alternatyva'!Q9</f>
        <v>0</v>
      </c>
      <c r="N6" s="203">
        <f>vb_namie_2025</f>
        <v>62914320</v>
      </c>
      <c r="O6" s="203">
        <f>am_namie_2025</f>
        <v>3311280</v>
      </c>
      <c r="P6" s="204">
        <f>psdf_namie_2025</f>
        <v>42119280</v>
      </c>
      <c r="Q6" s="214">
        <f>'I alternatyva'!Q11</f>
        <v>13880497.5</v>
      </c>
      <c r="R6" s="214">
        <f>'I alternatyva'!Q12</f>
        <v>730552.5</v>
      </c>
      <c r="S6" s="214">
        <f>'I alternatyva'!Q13</f>
        <v>0</v>
      </c>
      <c r="T6" s="203">
        <f>vb_namie_2026</f>
        <v>65910240</v>
      </c>
      <c r="U6" s="203">
        <f>am_namie_2026</f>
        <v>3468960</v>
      </c>
      <c r="V6" s="204">
        <f>psdf_namie_2026</f>
        <v>47070650</v>
      </c>
      <c r="W6" s="214">
        <f>'I alternatyva'!Q15</f>
        <v>13880497.5</v>
      </c>
      <c r="X6" s="214">
        <f>'I alternatyva'!Q16</f>
        <v>730552.5</v>
      </c>
      <c r="Y6" s="214">
        <f>'I alternatyva'!Q17</f>
        <v>0</v>
      </c>
    </row>
    <row r="7" spans="1:25" s="2" customFormat="1" ht="28.5" customHeight="1" x14ac:dyDescent="0.3">
      <c r="A7" s="198" t="str">
        <f>ipp_centrai</f>
        <v>IPP paslaugos dienos centruose</v>
      </c>
      <c r="B7" s="203">
        <f>vb_centre_2023</f>
        <v>31539240</v>
      </c>
      <c r="C7" s="203">
        <f>am_centre_2023</f>
        <v>4712760</v>
      </c>
      <c r="D7" s="203">
        <f>psdf_centre</f>
        <v>0</v>
      </c>
      <c r="E7" s="211">
        <f>'I alternatyva'!Q25</f>
        <v>31539240</v>
      </c>
      <c r="F7" s="211">
        <f>'I alternatyva'!Q26</f>
        <v>4712760</v>
      </c>
      <c r="G7" s="211">
        <v>0</v>
      </c>
      <c r="H7" s="203">
        <f>vb_centre_2024</f>
        <v>32989320</v>
      </c>
      <c r="I7" s="203">
        <f>am_centre_2024</f>
        <v>3262680</v>
      </c>
      <c r="J7" s="203">
        <f>psdf_centre</f>
        <v>0</v>
      </c>
      <c r="K7" s="211">
        <f>'I alternatyva'!Q28</f>
        <v>32989320</v>
      </c>
      <c r="L7" s="211">
        <f>'I alternatyva'!Q29</f>
        <v>3262680</v>
      </c>
      <c r="M7" s="211">
        <v>0</v>
      </c>
      <c r="N7" s="203">
        <f>vb_centre_2025</f>
        <v>34146840</v>
      </c>
      <c r="O7" s="203">
        <f>am_centre_2025</f>
        <v>3377160</v>
      </c>
      <c r="P7" s="203">
        <f>psdf_centre</f>
        <v>0</v>
      </c>
      <c r="Q7" s="214">
        <f>'I alternatyva'!Q31</f>
        <v>34146840</v>
      </c>
      <c r="R7" s="214">
        <f>'I alternatyva'!Q32</f>
        <v>3377160</v>
      </c>
      <c r="S7" s="214">
        <f>0</f>
        <v>0</v>
      </c>
      <c r="T7" s="203">
        <f>vb_centre_2026</f>
        <v>37040640</v>
      </c>
      <c r="U7" s="203">
        <f>am_centre_2026</f>
        <v>3663360</v>
      </c>
      <c r="V7" s="203">
        <f>psdf_centre</f>
        <v>0</v>
      </c>
      <c r="W7" s="214">
        <f>'I alternatyva'!Q34</f>
        <v>37040640</v>
      </c>
      <c r="X7" s="214">
        <f>'I alternatyva'!Q35</f>
        <v>3663360</v>
      </c>
      <c r="Y7" s="214">
        <f>'I alternatyva'!Q36</f>
        <v>0</v>
      </c>
    </row>
    <row r="8" spans="1:25" s="2" customFormat="1" ht="28.5" customHeight="1" x14ac:dyDescent="0.3">
      <c r="A8" s="198" t="str">
        <f>ipp_namai</f>
        <v>IPP paslaugos stacionare</v>
      </c>
      <c r="B8" s="203">
        <f>vb_namai_2023</f>
        <v>158753088</v>
      </c>
      <c r="C8" s="203">
        <f>am_namai_2023</f>
        <v>61737312.000000007</v>
      </c>
      <c r="D8" s="203">
        <f>psdf_namai_2023</f>
        <v>83765500</v>
      </c>
      <c r="E8" s="211">
        <f>'I alternatyva'!Q42</f>
        <v>158753088</v>
      </c>
      <c r="F8" s="211">
        <f>'I alternatyva'!Q43</f>
        <v>61737312.000000007</v>
      </c>
      <c r="G8" s="211">
        <f>'I alternatyva'!Q44</f>
        <v>83779740</v>
      </c>
      <c r="H8" s="203">
        <f>vb_namai_2024</f>
        <v>187211700</v>
      </c>
      <c r="I8" s="203">
        <f>am_namai_2024</f>
        <v>62403900</v>
      </c>
      <c r="J8" s="203">
        <f>psdf_namai_2024</f>
        <v>64439613.209235728</v>
      </c>
      <c r="K8" s="211">
        <f>'I alternatyva'!Q45</f>
        <v>165367800</v>
      </c>
      <c r="L8" s="211">
        <f>'I alternatyva'!Q46</f>
        <v>55122600</v>
      </c>
      <c r="M8" s="211">
        <f>'I alternatyva'!Q47</f>
        <v>83779740</v>
      </c>
      <c r="N8" s="203">
        <f>vb_namai_2025</f>
        <v>187211700</v>
      </c>
      <c r="O8" s="203">
        <f>am_namai_2025</f>
        <v>62403900</v>
      </c>
      <c r="P8" s="203">
        <f>psdf_namai_2025</f>
        <v>64439613.209235728</v>
      </c>
      <c r="Q8" s="205">
        <f>'I alternatyva'!Q48</f>
        <v>165367800</v>
      </c>
      <c r="R8" s="211">
        <f>'I alternatyva'!Q49</f>
        <v>55122600</v>
      </c>
      <c r="S8" s="205">
        <f>'I alternatyva'!Q50</f>
        <v>83779740</v>
      </c>
      <c r="T8" s="203">
        <f>vb_namai_2026</f>
        <v>189551700</v>
      </c>
      <c r="U8" s="203">
        <f>am_namai_2026</f>
        <v>63183900</v>
      </c>
      <c r="V8" s="203">
        <f>psdf_namai_2026</f>
        <v>64439613.209235728</v>
      </c>
      <c r="W8" s="205">
        <f>'I alternatyva'!Q51</f>
        <v>165367800</v>
      </c>
      <c r="X8" s="211">
        <f>'I alternatyva'!Q52</f>
        <v>55122600</v>
      </c>
      <c r="Y8" s="205">
        <f>'I alternatyva'!Q53</f>
        <v>83779740</v>
      </c>
    </row>
    <row r="9" spans="1:25" s="2" customFormat="1" ht="28.5" customHeight="1" x14ac:dyDescent="0.3">
      <c r="A9" s="198" t="s">
        <v>54</v>
      </c>
      <c r="B9" s="206"/>
      <c r="C9" s="206"/>
      <c r="D9" s="206"/>
      <c r="E9" s="206"/>
      <c r="F9" s="206"/>
      <c r="G9" s="206"/>
      <c r="H9" s="203">
        <f>sppd</f>
        <v>255360</v>
      </c>
      <c r="I9" s="203"/>
      <c r="J9" s="203"/>
      <c r="K9" s="205"/>
      <c r="L9" s="205"/>
      <c r="M9" s="205"/>
      <c r="N9" s="203">
        <f>sppd</f>
        <v>255360</v>
      </c>
      <c r="O9" s="203"/>
      <c r="P9" s="203"/>
      <c r="Q9" s="205"/>
      <c r="R9" s="205"/>
      <c r="S9" s="205"/>
      <c r="T9" s="203">
        <f>sppd</f>
        <v>255360</v>
      </c>
      <c r="U9" s="203"/>
      <c r="V9" s="203"/>
      <c r="W9" s="205"/>
      <c r="X9" s="205"/>
      <c r="Y9" s="205"/>
    </row>
    <row r="10" spans="1:25" s="2" customFormat="1" ht="28.5" customHeight="1" x14ac:dyDescent="0.3">
      <c r="A10" s="198" t="s">
        <v>55</v>
      </c>
      <c r="B10" s="206"/>
      <c r="C10" s="206"/>
      <c r="D10" s="206"/>
      <c r="E10" s="206"/>
      <c r="F10" s="206"/>
      <c r="G10" s="206"/>
      <c r="H10" s="203">
        <f>savivalda</f>
        <v>2990746</v>
      </c>
      <c r="I10" s="203"/>
      <c r="J10" s="203"/>
      <c r="K10" s="205"/>
      <c r="L10" s="205"/>
      <c r="M10" s="205"/>
      <c r="N10" s="203">
        <f>savivalda</f>
        <v>2990746</v>
      </c>
      <c r="O10" s="203"/>
      <c r="P10" s="203"/>
      <c r="Q10" s="205"/>
      <c r="R10" s="205"/>
      <c r="S10" s="205"/>
      <c r="T10" s="203">
        <f>savivalda</f>
        <v>2990746</v>
      </c>
      <c r="U10" s="203"/>
      <c r="V10" s="203"/>
      <c r="W10" s="205"/>
      <c r="X10" s="205"/>
      <c r="Y10" s="205"/>
    </row>
    <row r="11" spans="1:25" s="2" customFormat="1" ht="28.5" customHeight="1" x14ac:dyDescent="0.3">
      <c r="A11" s="199" t="s">
        <v>0</v>
      </c>
      <c r="B11" s="207">
        <f>SUM(B6:B10)</f>
        <v>246603009.59999999</v>
      </c>
      <c r="C11" s="207">
        <f>SUM(C6:C8)</f>
        <v>70688510.400000006</v>
      </c>
      <c r="D11" s="207">
        <f>D6+D7+D8</f>
        <v>121220476</v>
      </c>
      <c r="E11" s="208">
        <f>status_quo_vb_namie+status_quo_vb_centrai+status_quo_vb_namai</f>
        <v>203880604.5</v>
      </c>
      <c r="F11" s="208">
        <f>status_quo_vb_namie+status_quo_vb_centrai+status_quo_vb_namai</f>
        <v>203880604.5</v>
      </c>
      <c r="G11" s="208">
        <f>status_quo_vb_namie+status_quo_vb_centrai+status_quo_vb_namai</f>
        <v>203880604.5</v>
      </c>
      <c r="H11" s="207">
        <f>SUM(H6:H10)</f>
        <v>283365526</v>
      </c>
      <c r="I11" s="207">
        <f>SUM(I6:I8)</f>
        <v>68820180</v>
      </c>
      <c r="J11" s="207">
        <f>J6+J7+J8</f>
        <v>104004213.20923573</v>
      </c>
      <c r="K11" s="208">
        <f>K6+K7+K8</f>
        <v>212237617.5</v>
      </c>
      <c r="L11" s="208">
        <f t="shared" ref="L11:M11" si="0">L6+L7+L8</f>
        <v>59115832.5</v>
      </c>
      <c r="M11" s="208">
        <f t="shared" si="0"/>
        <v>83779740</v>
      </c>
      <c r="N11" s="207">
        <f>SUM(N6:N10)</f>
        <v>287518966</v>
      </c>
      <c r="O11" s="207">
        <f>SUM(O6:O8)</f>
        <v>69092340</v>
      </c>
      <c r="P11" s="207">
        <f>P6+P7+P8</f>
        <v>106558893.20923573</v>
      </c>
      <c r="Q11" s="208">
        <f>Q6+Q7+Q8</f>
        <v>213395137.5</v>
      </c>
      <c r="R11" s="208">
        <f t="shared" ref="R11:S11" si="1">R6+R7+R8</f>
        <v>59230312.5</v>
      </c>
      <c r="S11" s="208">
        <f t="shared" si="1"/>
        <v>83779740</v>
      </c>
      <c r="T11" s="207">
        <f>SUM(T6:T10)</f>
        <v>295748686</v>
      </c>
      <c r="U11" s="207">
        <f>SUM(U6:U8)</f>
        <v>70316220</v>
      </c>
      <c r="V11" s="207">
        <f>V6+V7+V8</f>
        <v>111510263.20923573</v>
      </c>
      <c r="W11" s="208">
        <f>W6+W7+W8</f>
        <v>216288937.5</v>
      </c>
      <c r="X11" s="208">
        <f t="shared" ref="X11:Y11" si="2">X6+X7+X8</f>
        <v>59516512.5</v>
      </c>
      <c r="Y11" s="208">
        <f t="shared" si="2"/>
        <v>83779740</v>
      </c>
    </row>
    <row r="12" spans="1:25" s="2" customFormat="1" ht="28.5" customHeight="1" x14ac:dyDescent="0.3">
      <c r="A12" s="224" t="s">
        <v>148</v>
      </c>
      <c r="B12" s="225"/>
      <c r="C12" s="225"/>
      <c r="D12" s="225"/>
      <c r="E12" s="225"/>
      <c r="F12" s="225"/>
      <c r="G12" s="225"/>
      <c r="H12" s="225"/>
      <c r="I12" s="225"/>
      <c r="J12" s="225"/>
      <c r="K12" s="225"/>
      <c r="L12" s="225"/>
      <c r="M12" s="225"/>
      <c r="N12" s="225"/>
      <c r="O12" s="225"/>
      <c r="P12" s="225"/>
      <c r="Q12" s="225"/>
      <c r="R12" s="225"/>
      <c r="S12" s="225"/>
      <c r="T12" s="225"/>
      <c r="U12" s="225"/>
      <c r="V12" s="225"/>
      <c r="W12" s="225"/>
      <c r="X12" s="225"/>
      <c r="Y12" s="225"/>
    </row>
    <row r="13" spans="1:25" s="2" customFormat="1" ht="38.25" customHeight="1" x14ac:dyDescent="0.3">
      <c r="A13" s="200" t="s">
        <v>50</v>
      </c>
      <c r="B13" s="126">
        <v>4900000</v>
      </c>
      <c r="C13" s="126"/>
      <c r="D13" s="135"/>
      <c r="E13" s="126"/>
      <c r="F13" s="126"/>
      <c r="G13" s="126"/>
      <c r="H13" s="136">
        <v>4900000</v>
      </c>
      <c r="I13" s="136"/>
      <c r="J13" s="136"/>
      <c r="K13" s="136"/>
      <c r="L13" s="136"/>
      <c r="M13" s="136"/>
      <c r="N13" s="136">
        <v>4900000</v>
      </c>
      <c r="O13" s="136"/>
      <c r="P13" s="136"/>
      <c r="Q13" s="136"/>
      <c r="R13" s="136"/>
      <c r="S13" s="136"/>
      <c r="T13" s="139"/>
      <c r="U13" s="139"/>
      <c r="V13" s="139"/>
      <c r="W13" s="139"/>
      <c r="X13" s="139"/>
      <c r="Y13" s="139"/>
    </row>
    <row r="14" spans="1:25" s="2" customFormat="1" ht="35.25" customHeight="1" x14ac:dyDescent="0.3">
      <c r="A14" s="200" t="s">
        <v>51</v>
      </c>
      <c r="B14" s="126">
        <v>0</v>
      </c>
      <c r="C14" s="126"/>
      <c r="D14" s="135"/>
      <c r="E14" s="126"/>
      <c r="F14" s="126"/>
      <c r="G14" s="126"/>
      <c r="H14" s="136">
        <v>0</v>
      </c>
      <c r="I14" s="136"/>
      <c r="J14" s="136"/>
      <c r="K14" s="136"/>
      <c r="L14" s="136"/>
      <c r="M14" s="136"/>
      <c r="N14" s="136">
        <v>1272000</v>
      </c>
      <c r="O14" s="136"/>
      <c r="P14" s="136"/>
      <c r="Q14" s="136"/>
      <c r="R14" s="136"/>
      <c r="S14" s="136"/>
      <c r="T14" s="139">
        <v>5978400</v>
      </c>
      <c r="U14" s="139"/>
      <c r="V14" s="139"/>
      <c r="W14" s="139"/>
      <c r="X14" s="139"/>
      <c r="Y14" s="139"/>
    </row>
    <row r="15" spans="1:25" s="2" customFormat="1" ht="28.5" customHeight="1" x14ac:dyDescent="0.3">
      <c r="A15" s="138" t="s">
        <v>52</v>
      </c>
      <c r="B15" s="219">
        <f>B11-B13</f>
        <v>241703009.59999999</v>
      </c>
      <c r="C15" s="219">
        <f t="shared" ref="C15:D15" si="3">C11-C13</f>
        <v>70688510.400000006</v>
      </c>
      <c r="D15" s="219">
        <f t="shared" si="3"/>
        <v>121220476</v>
      </c>
      <c r="E15" s="128"/>
      <c r="F15" s="127"/>
      <c r="G15" s="138" t="s">
        <v>52</v>
      </c>
      <c r="H15" s="134">
        <f>H11-H13-H14</f>
        <v>278465526</v>
      </c>
      <c r="I15" s="134">
        <f>I11-I13</f>
        <v>68820180</v>
      </c>
      <c r="J15" s="134">
        <f t="shared" ref="J15" si="4">J11-J13</f>
        <v>104004213.20923573</v>
      </c>
      <c r="K15" s="118"/>
      <c r="L15" s="119"/>
      <c r="M15" s="138" t="s">
        <v>52</v>
      </c>
      <c r="N15" s="134">
        <f>N11-N13-N14</f>
        <v>281346966</v>
      </c>
      <c r="O15" s="134">
        <f t="shared" ref="O15:P15" si="5">O11-O13</f>
        <v>69092340</v>
      </c>
      <c r="P15" s="134">
        <f t="shared" si="5"/>
        <v>106558893.20923573</v>
      </c>
      <c r="Q15" s="123"/>
      <c r="R15" s="123"/>
      <c r="S15" s="138" t="s">
        <v>52</v>
      </c>
      <c r="T15" s="134">
        <f>T11-T13-T14</f>
        <v>289770286</v>
      </c>
      <c r="U15" s="134">
        <f>U11-U13</f>
        <v>70316220</v>
      </c>
      <c r="V15" s="134">
        <f>V11-V13</f>
        <v>111510263.20923573</v>
      </c>
      <c r="W15" s="123"/>
      <c r="X15" s="123"/>
      <c r="Y15" s="123"/>
    </row>
    <row r="16" spans="1:25" s="2" customFormat="1" ht="59.25" customHeight="1" x14ac:dyDescent="0.3">
      <c r="A16" s="212" t="s">
        <v>134</v>
      </c>
      <c r="B16" s="220">
        <f>B11-E11</f>
        <v>42722405.099999994</v>
      </c>
      <c r="C16" s="220">
        <f>C15-F11</f>
        <v>-133192094.09999999</v>
      </c>
      <c r="D16" s="220">
        <f>D15-G11</f>
        <v>-82660128.5</v>
      </c>
      <c r="E16" s="128"/>
      <c r="F16" s="127"/>
      <c r="G16" s="212" t="s">
        <v>134</v>
      </c>
      <c r="H16" s="132">
        <f>H11-K11</f>
        <v>71127908.5</v>
      </c>
      <c r="I16" s="132">
        <f>I15-L11</f>
        <v>9704347.5</v>
      </c>
      <c r="J16" s="132">
        <f>J15-M11</f>
        <v>20224473.209235728</v>
      </c>
      <c r="K16" s="124"/>
      <c r="L16" s="122"/>
      <c r="M16" s="212" t="s">
        <v>134</v>
      </c>
      <c r="N16" s="132">
        <f>N11-Q11</f>
        <v>74123828.5</v>
      </c>
      <c r="O16" s="132">
        <f>O15-R11</f>
        <v>9862027.5</v>
      </c>
      <c r="P16" s="132">
        <f>P15-S11</f>
        <v>22779153.209235728</v>
      </c>
      <c r="Q16" s="123"/>
      <c r="R16" s="123"/>
      <c r="S16" s="212" t="s">
        <v>134</v>
      </c>
      <c r="T16" s="132">
        <f>T11-W11</f>
        <v>79459748.5</v>
      </c>
      <c r="U16" s="132">
        <f>U15-X11</f>
        <v>10799707.5</v>
      </c>
      <c r="V16" s="132">
        <f>V15-Y11</f>
        <v>27730523.209235728</v>
      </c>
      <c r="W16" s="123"/>
      <c r="X16" s="123"/>
      <c r="Y16" s="123"/>
    </row>
    <row r="17" spans="1:25" ht="63.75" customHeight="1" x14ac:dyDescent="0.3">
      <c r="A17" s="218"/>
      <c r="B17" s="126"/>
      <c r="C17" s="126"/>
      <c r="D17" s="126"/>
      <c r="E17" s="128"/>
      <c r="F17" s="127"/>
      <c r="G17" s="212" t="s">
        <v>135</v>
      </c>
      <c r="H17" s="221">
        <f>H11-B11</f>
        <v>36762516.400000006</v>
      </c>
      <c r="I17" s="221">
        <f>I11-C11</f>
        <v>-1868330.400000006</v>
      </c>
      <c r="J17" s="221">
        <f>J11-D11</f>
        <v>-17216262.790764272</v>
      </c>
      <c r="K17" s="222"/>
      <c r="L17" s="223"/>
      <c r="M17" s="212" t="s">
        <v>135</v>
      </c>
      <c r="N17" s="221">
        <f>N11-B11</f>
        <v>40915956.400000006</v>
      </c>
      <c r="O17" s="221">
        <f>O11-C11</f>
        <v>-1596170.400000006</v>
      </c>
      <c r="P17" s="221">
        <f>P11-D11</f>
        <v>-14661582.790764272</v>
      </c>
      <c r="Q17" s="137"/>
      <c r="R17" s="137"/>
      <c r="S17" s="212" t="s">
        <v>135</v>
      </c>
      <c r="T17" s="221">
        <f>T11-B11</f>
        <v>49145676.400000006</v>
      </c>
      <c r="U17" s="221">
        <f>U11-C11</f>
        <v>-372290.40000000596</v>
      </c>
      <c r="V17" s="221">
        <f>V11-D11</f>
        <v>-9710212.7907642722</v>
      </c>
      <c r="W17" s="1"/>
      <c r="X17" s="1"/>
      <c r="Y17" s="1"/>
    </row>
  </sheetData>
  <mergeCells count="13">
    <mergeCell ref="Q4:S4"/>
    <mergeCell ref="T4:V4"/>
    <mergeCell ref="W4:Y4"/>
    <mergeCell ref="B1:Y2"/>
    <mergeCell ref="B3:G3"/>
    <mergeCell ref="H3:M3"/>
    <mergeCell ref="N3:S3"/>
    <mergeCell ref="T3:Y3"/>
    <mergeCell ref="B4:D4"/>
    <mergeCell ref="E4:G4"/>
    <mergeCell ref="H4:J4"/>
    <mergeCell ref="K4:M4"/>
    <mergeCell ref="N4:P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077EB-81D0-4870-BD6A-5F9380D6FC0C}">
  <dimension ref="A1:Y51"/>
  <sheetViews>
    <sheetView tabSelected="1" zoomScale="84" zoomScaleNormal="84" workbookViewId="0">
      <pane xSplit="1" topLeftCell="B1" activePane="topRight" state="frozen"/>
      <selection pane="topRight" activeCell="H23" sqref="H23"/>
    </sheetView>
  </sheetViews>
  <sheetFormatPr defaultRowHeight="14.4" x14ac:dyDescent="0.3"/>
  <cols>
    <col min="2" max="2" width="35.6640625" bestFit="1" customWidth="1"/>
    <col min="3" max="3" width="12.6640625" customWidth="1"/>
    <col min="4" max="4" width="15.33203125" customWidth="1"/>
    <col min="5" max="5" width="14.44140625" customWidth="1"/>
    <col min="6" max="6" width="14.109375" customWidth="1"/>
    <col min="7" max="7" width="3.33203125" customWidth="1"/>
    <col min="8" max="8" width="35.6640625" bestFit="1" customWidth="1"/>
    <col min="9" max="10" width="15.33203125" customWidth="1"/>
    <col min="11" max="12" width="14" customWidth="1"/>
    <col min="13" max="13" width="3.33203125" customWidth="1"/>
    <col min="14" max="14" width="35.6640625" bestFit="1" customWidth="1"/>
    <col min="15" max="15" width="13.44140625" customWidth="1"/>
    <col min="16" max="16" width="13.88671875" bestFit="1" customWidth="1"/>
    <col min="17" max="17" width="12.33203125" bestFit="1" customWidth="1"/>
    <col min="18" max="18" width="14.6640625" customWidth="1"/>
    <col min="19" max="19" width="3.33203125" customWidth="1"/>
    <col min="20" max="20" width="35.6640625" bestFit="1" customWidth="1"/>
    <col min="21" max="21" width="11.5546875" customWidth="1"/>
    <col min="22" max="22" width="13.88671875" bestFit="1" customWidth="1"/>
    <col min="23" max="23" width="16.6640625" customWidth="1"/>
    <col min="24" max="24" width="18" customWidth="1"/>
    <col min="25" max="25" width="3.33203125" customWidth="1"/>
  </cols>
  <sheetData>
    <row r="1" spans="1:25" x14ac:dyDescent="0.3">
      <c r="B1" s="307" t="s">
        <v>141</v>
      </c>
      <c r="C1" s="307"/>
      <c r="D1" s="307"/>
      <c r="E1" s="307"/>
      <c r="F1" s="307"/>
      <c r="G1" s="307"/>
      <c r="H1" s="307"/>
      <c r="I1" s="307"/>
      <c r="J1" s="307"/>
      <c r="K1" s="307"/>
      <c r="L1" s="307"/>
      <c r="M1" s="307"/>
      <c r="N1" s="307"/>
      <c r="O1" s="307"/>
      <c r="P1" s="307"/>
      <c r="Q1" s="307"/>
      <c r="R1" s="307"/>
      <c r="S1" s="307"/>
      <c r="T1" s="307"/>
      <c r="U1" s="307"/>
      <c r="V1" s="307"/>
      <c r="W1" s="307"/>
      <c r="X1" s="307"/>
      <c r="Y1" s="307"/>
    </row>
    <row r="2" spans="1:25" x14ac:dyDescent="0.3">
      <c r="B2" s="316"/>
      <c r="C2" s="316"/>
      <c r="D2" s="316"/>
      <c r="E2" s="316"/>
      <c r="F2" s="316"/>
      <c r="G2" s="316"/>
      <c r="H2" s="316"/>
      <c r="I2" s="316"/>
      <c r="J2" s="316"/>
      <c r="K2" s="316"/>
      <c r="L2" s="316"/>
      <c r="M2" s="316"/>
      <c r="N2" s="316"/>
      <c r="O2" s="316"/>
      <c r="P2" s="316"/>
      <c r="Q2" s="316"/>
      <c r="R2" s="316"/>
      <c r="S2" s="316"/>
      <c r="T2" s="316"/>
      <c r="U2" s="316"/>
      <c r="V2" s="316"/>
      <c r="W2" s="316"/>
      <c r="X2" s="316"/>
      <c r="Y2" s="316"/>
    </row>
    <row r="3" spans="1:25" s="216" customFormat="1" ht="23.4" x14ac:dyDescent="0.45">
      <c r="B3" s="317" t="s">
        <v>137</v>
      </c>
      <c r="C3" s="317"/>
      <c r="D3" s="317"/>
      <c r="E3" s="317"/>
      <c r="F3" s="317"/>
      <c r="G3" s="317"/>
      <c r="H3" s="317" t="s">
        <v>138</v>
      </c>
      <c r="I3" s="317"/>
      <c r="J3" s="317"/>
      <c r="K3" s="317"/>
      <c r="L3" s="317"/>
      <c r="M3" s="317"/>
      <c r="N3" s="317" t="s">
        <v>139</v>
      </c>
      <c r="O3" s="317"/>
      <c r="P3" s="317"/>
      <c r="Q3" s="317"/>
      <c r="R3" s="317"/>
      <c r="S3" s="317"/>
      <c r="T3" s="317" t="s">
        <v>140</v>
      </c>
      <c r="U3" s="317"/>
      <c r="V3" s="317"/>
      <c r="W3" s="317"/>
      <c r="X3" s="317"/>
      <c r="Y3" s="317"/>
    </row>
    <row r="4" spans="1:25" s="213" customFormat="1" ht="79.5" customHeight="1" x14ac:dyDescent="0.3">
      <c r="B4" s="318" t="s">
        <v>136</v>
      </c>
      <c r="C4" s="309"/>
      <c r="D4" s="309"/>
      <c r="E4" s="309"/>
      <c r="F4" s="309"/>
      <c r="G4" s="312"/>
      <c r="H4" s="309" t="s">
        <v>143</v>
      </c>
      <c r="I4" s="309"/>
      <c r="J4" s="309"/>
      <c r="K4" s="309"/>
      <c r="L4" s="309"/>
      <c r="M4" s="312"/>
      <c r="N4" s="309" t="s">
        <v>144</v>
      </c>
      <c r="O4" s="309"/>
      <c r="P4" s="309"/>
      <c r="Q4" s="309"/>
      <c r="R4" s="309"/>
      <c r="S4" s="312"/>
      <c r="T4" s="309" t="s">
        <v>142</v>
      </c>
      <c r="U4" s="309"/>
      <c r="V4" s="309"/>
      <c r="W4" s="309"/>
      <c r="X4" s="309"/>
      <c r="Y4" s="312"/>
    </row>
    <row r="5" spans="1:25" s="213" customFormat="1" ht="120" customHeight="1" x14ac:dyDescent="0.3">
      <c r="B5" s="313" t="s">
        <v>160</v>
      </c>
      <c r="C5" s="314"/>
      <c r="D5" s="314"/>
      <c r="E5" s="314"/>
      <c r="F5" s="314"/>
      <c r="G5" s="312"/>
      <c r="H5" s="313" t="s">
        <v>161</v>
      </c>
      <c r="I5" s="314"/>
      <c r="J5" s="314"/>
      <c r="K5" s="314"/>
      <c r="L5" s="314"/>
      <c r="M5" s="312"/>
      <c r="N5" s="313" t="s">
        <v>162</v>
      </c>
      <c r="O5" s="314"/>
      <c r="P5" s="314"/>
      <c r="Q5" s="314"/>
      <c r="R5" s="314"/>
      <c r="S5" s="312"/>
      <c r="T5" s="313" t="s">
        <v>163</v>
      </c>
      <c r="U5" s="314"/>
      <c r="V5" s="314"/>
      <c r="W5" s="314"/>
      <c r="X5" s="314"/>
      <c r="Y5" s="312"/>
    </row>
    <row r="6" spans="1:25" ht="51" customHeight="1" x14ac:dyDescent="0.3">
      <c r="B6" s="290"/>
      <c r="C6" s="291" t="s">
        <v>146</v>
      </c>
      <c r="D6" s="291" t="s">
        <v>165</v>
      </c>
      <c r="E6" s="291" t="s">
        <v>49</v>
      </c>
      <c r="F6" s="292" t="s">
        <v>29</v>
      </c>
      <c r="G6" s="312"/>
      <c r="H6" s="293"/>
      <c r="I6" s="291" t="s">
        <v>146</v>
      </c>
      <c r="J6" s="291" t="s">
        <v>165</v>
      </c>
      <c r="K6" s="291" t="s">
        <v>49</v>
      </c>
      <c r="L6" s="292" t="s">
        <v>29</v>
      </c>
      <c r="M6" s="312"/>
      <c r="N6" s="293"/>
      <c r="O6" s="291" t="s">
        <v>146</v>
      </c>
      <c r="P6" s="291" t="s">
        <v>145</v>
      </c>
      <c r="Q6" s="291" t="s">
        <v>49</v>
      </c>
      <c r="R6" s="292" t="s">
        <v>29</v>
      </c>
      <c r="S6" s="312"/>
      <c r="T6" s="293"/>
      <c r="U6" s="291" t="s">
        <v>146</v>
      </c>
      <c r="V6" s="291" t="s">
        <v>145</v>
      </c>
      <c r="W6" s="291" t="s">
        <v>49</v>
      </c>
      <c r="X6" s="292" t="s">
        <v>29</v>
      </c>
      <c r="Y6" s="312"/>
    </row>
    <row r="7" spans="1:25" x14ac:dyDescent="0.3">
      <c r="A7" s="310">
        <v>2023</v>
      </c>
      <c r="B7" s="294" t="s">
        <v>21</v>
      </c>
      <c r="C7" s="295">
        <v>2055</v>
      </c>
      <c r="D7" s="296">
        <f>'I alternatyva'!T3</f>
        <v>4335625.5</v>
      </c>
      <c r="E7" s="296">
        <f>'I alternatyva'!Q4</f>
        <v>1022773.5000000001</v>
      </c>
      <c r="F7" s="297">
        <f>'I alternatyva'!Q5</f>
        <v>0</v>
      </c>
      <c r="G7" s="312"/>
      <c r="H7" s="298" t="s">
        <v>21</v>
      </c>
      <c r="I7" s="295">
        <v>2055</v>
      </c>
      <c r="J7" s="296">
        <f>'II alternatyva'!T3</f>
        <v>4335625.5</v>
      </c>
      <c r="K7" s="296">
        <f>'I alternatyva'!Q4</f>
        <v>1022773.5000000001</v>
      </c>
      <c r="L7" s="297">
        <f>'I alternatyva'!Q5</f>
        <v>0</v>
      </c>
      <c r="M7" s="312"/>
      <c r="N7" s="298" t="s">
        <v>21</v>
      </c>
      <c r="O7" s="295">
        <f>19200</f>
        <v>19200</v>
      </c>
      <c r="P7" s="296">
        <f>'III alternatyva'!T3</f>
        <v>47058030.600000001</v>
      </c>
      <c r="Q7" s="296">
        <f>'III alternatyva'!Q4</f>
        <v>4238438.4000000004</v>
      </c>
      <c r="R7" s="297">
        <f>'III alternatyva'!Q5</f>
        <v>37454976</v>
      </c>
      <c r="S7" s="312"/>
      <c r="T7" s="298" t="s">
        <v>21</v>
      </c>
      <c r="U7" s="295">
        <v>19200</v>
      </c>
      <c r="V7" s="296">
        <f>P7</f>
        <v>47058030.600000001</v>
      </c>
      <c r="W7" s="296">
        <f t="shared" ref="V7:W9" si="0">Q7</f>
        <v>4238438.4000000004</v>
      </c>
      <c r="X7" s="297">
        <f>psdf_namie_2023</f>
        <v>37454976</v>
      </c>
      <c r="Y7" s="312"/>
    </row>
    <row r="8" spans="1:25" x14ac:dyDescent="0.3">
      <c r="A8" s="310"/>
      <c r="B8" s="294" t="s">
        <v>32</v>
      </c>
      <c r="C8" s="295">
        <f>2850</f>
        <v>2850</v>
      </c>
      <c r="D8" s="296">
        <f>'I alternatyva'!Q25</f>
        <v>31539240</v>
      </c>
      <c r="E8" s="296">
        <f>'I alternatyva'!Q26</f>
        <v>4712760</v>
      </c>
      <c r="F8" s="297">
        <f>status_quo_psdf_centre</f>
        <v>0</v>
      </c>
      <c r="G8" s="312"/>
      <c r="H8" s="298" t="s">
        <v>32</v>
      </c>
      <c r="I8" s="295">
        <f>2850</f>
        <v>2850</v>
      </c>
      <c r="J8" s="296">
        <f>'I alternatyva'!Q25</f>
        <v>31539240</v>
      </c>
      <c r="K8" s="296">
        <f>'I alternatyva'!Q26</f>
        <v>4712760</v>
      </c>
      <c r="L8" s="297">
        <f>status_quo_psdf_centre</f>
        <v>0</v>
      </c>
      <c r="M8" s="312"/>
      <c r="N8" s="298" t="s">
        <v>32</v>
      </c>
      <c r="O8" s="295">
        <v>2850</v>
      </c>
      <c r="P8" s="296">
        <f>vb_centre_2023</f>
        <v>31539240</v>
      </c>
      <c r="Q8" s="296">
        <f>am_centre_2023</f>
        <v>4712760</v>
      </c>
      <c r="R8" s="297">
        <f>psdf_centre</f>
        <v>0</v>
      </c>
      <c r="S8" s="312"/>
      <c r="T8" s="298" t="s">
        <v>32</v>
      </c>
      <c r="U8" s="295">
        <v>2850</v>
      </c>
      <c r="V8" s="296">
        <f t="shared" si="0"/>
        <v>31539240</v>
      </c>
      <c r="W8" s="296">
        <f t="shared" si="0"/>
        <v>4712760</v>
      </c>
      <c r="X8" s="297">
        <f>psdf_centre</f>
        <v>0</v>
      </c>
      <c r="Y8" s="312"/>
    </row>
    <row r="9" spans="1:25" x14ac:dyDescent="0.3">
      <c r="A9" s="310"/>
      <c r="B9" s="294" t="s">
        <v>37</v>
      </c>
      <c r="C9" s="295">
        <v>14134</v>
      </c>
      <c r="D9" s="296">
        <f>'I alternatyva'!Q42</f>
        <v>158753088</v>
      </c>
      <c r="E9" s="296">
        <f>'I alternatyva'!Q43</f>
        <v>61737312.000000007</v>
      </c>
      <c r="F9" s="297">
        <f>'I alternatyva'!Q44</f>
        <v>83779740</v>
      </c>
      <c r="G9" s="312"/>
      <c r="H9" s="298" t="s">
        <v>37</v>
      </c>
      <c r="I9" s="295" cm="1">
        <f t="array" ref="I9:I11">'II alternatyva'!E42:E44</f>
        <v>14134</v>
      </c>
      <c r="J9" s="296">
        <f>'II alternatyva'!Q42</f>
        <v>158753088</v>
      </c>
      <c r="K9" s="296">
        <f>'II alternatyva'!Q43</f>
        <v>61737312.000000007</v>
      </c>
      <c r="L9" s="297">
        <f>'II alternatyva'!Q44</f>
        <v>83765500</v>
      </c>
      <c r="M9" s="312"/>
      <c r="N9" s="298" t="s">
        <v>37</v>
      </c>
      <c r="O9" s="295">
        <v>14134</v>
      </c>
      <c r="P9" s="296">
        <f>suma_vb_lovos_2023</f>
        <v>158753088</v>
      </c>
      <c r="Q9" s="296">
        <f>suma_am_lovos_2023</f>
        <v>61737312.000000007</v>
      </c>
      <c r="R9" s="297">
        <f>'III alternatyva'!Q44</f>
        <v>83765500</v>
      </c>
      <c r="S9" s="312"/>
      <c r="T9" s="298" t="s">
        <v>37</v>
      </c>
      <c r="U9" s="295">
        <v>14134</v>
      </c>
      <c r="V9" s="296">
        <f t="shared" si="0"/>
        <v>158753088</v>
      </c>
      <c r="W9" s="296">
        <f t="shared" si="0"/>
        <v>61737312.000000007</v>
      </c>
      <c r="X9" s="297">
        <f>suma_psdf_lovos_2023</f>
        <v>83765500</v>
      </c>
      <c r="Y9" s="312"/>
    </row>
    <row r="10" spans="1:25" x14ac:dyDescent="0.3">
      <c r="A10" s="310"/>
      <c r="B10" s="294" t="s">
        <v>54</v>
      </c>
      <c r="C10" s="295"/>
      <c r="D10" s="296">
        <v>0</v>
      </c>
      <c r="E10" s="296">
        <v>0</v>
      </c>
      <c r="F10" s="297">
        <v>0</v>
      </c>
      <c r="G10" s="312"/>
      <c r="H10" s="298" t="s">
        <v>54</v>
      </c>
      <c r="I10" s="295">
        <v>0</v>
      </c>
      <c r="J10" s="296">
        <v>0</v>
      </c>
      <c r="K10" s="296">
        <v>0</v>
      </c>
      <c r="L10" s="297">
        <v>0</v>
      </c>
      <c r="M10" s="312"/>
      <c r="N10" s="298" t="s">
        <v>54</v>
      </c>
      <c r="O10" s="295"/>
      <c r="P10" s="296"/>
      <c r="Q10" s="296">
        <v>0</v>
      </c>
      <c r="R10" s="297">
        <v>0</v>
      </c>
      <c r="S10" s="312"/>
      <c r="T10" s="298" t="s">
        <v>54</v>
      </c>
      <c r="U10" s="295"/>
      <c r="V10" s="296"/>
      <c r="W10" s="296">
        <v>0</v>
      </c>
      <c r="X10" s="297">
        <v>0</v>
      </c>
      <c r="Y10" s="312"/>
    </row>
    <row r="11" spans="1:25" x14ac:dyDescent="0.3">
      <c r="A11" s="310"/>
      <c r="B11" s="294" t="s">
        <v>55</v>
      </c>
      <c r="C11" s="295"/>
      <c r="D11" s="296">
        <v>0</v>
      </c>
      <c r="E11" s="296">
        <v>0</v>
      </c>
      <c r="F11" s="297">
        <v>0</v>
      </c>
      <c r="G11" s="312"/>
      <c r="H11" s="298" t="s">
        <v>55</v>
      </c>
      <c r="I11" s="295">
        <v>0</v>
      </c>
      <c r="J11" s="296">
        <v>0</v>
      </c>
      <c r="K11" s="296">
        <v>0</v>
      </c>
      <c r="L11" s="297">
        <v>0</v>
      </c>
      <c r="M11" s="312"/>
      <c r="N11" s="298" t="s">
        <v>55</v>
      </c>
      <c r="O11" s="295"/>
      <c r="P11" s="296"/>
      <c r="Q11" s="296">
        <v>0</v>
      </c>
      <c r="R11" s="297">
        <v>0</v>
      </c>
      <c r="S11" s="312"/>
      <c r="T11" s="298" t="s">
        <v>55</v>
      </c>
      <c r="U11" s="295"/>
      <c r="V11" s="296"/>
      <c r="W11" s="296">
        <v>0</v>
      </c>
      <c r="X11" s="297">
        <v>0</v>
      </c>
      <c r="Y11" s="312"/>
    </row>
    <row r="12" spans="1:25" x14ac:dyDescent="0.3">
      <c r="A12" s="311">
        <v>2024</v>
      </c>
      <c r="B12" s="290" t="s">
        <v>21</v>
      </c>
      <c r="C12" s="299">
        <v>2055</v>
      </c>
      <c r="D12" s="300">
        <f>'I alternatyva'!T7</f>
        <v>4764731.5</v>
      </c>
      <c r="E12" s="300">
        <f>'I alternatyva'!Q8</f>
        <v>730552.5</v>
      </c>
      <c r="F12" s="301">
        <f>'I alternatyva'!Q9</f>
        <v>0</v>
      </c>
      <c r="G12" s="312"/>
      <c r="H12" s="293" t="s">
        <v>21</v>
      </c>
      <c r="I12" s="299">
        <v>2055</v>
      </c>
      <c r="J12" s="300">
        <f>'II alternatyva'!T7</f>
        <v>4764731.5</v>
      </c>
      <c r="K12" s="300">
        <f>'I alternatyva'!Q8</f>
        <v>730552.5</v>
      </c>
      <c r="L12" s="301">
        <f>'I alternatyva'!Q9</f>
        <v>0</v>
      </c>
      <c r="M12" s="312"/>
      <c r="N12" s="293" t="s">
        <v>21</v>
      </c>
      <c r="O12" s="299">
        <v>20000</v>
      </c>
      <c r="P12" s="300">
        <f>'III alternatyva'!T7</f>
        <v>50802634</v>
      </c>
      <c r="Q12" s="300">
        <f>'III alternatyva'!Q8</f>
        <v>3153600</v>
      </c>
      <c r="R12" s="301">
        <f>'III alternatyva'!Q9</f>
        <v>39564600</v>
      </c>
      <c r="S12" s="312"/>
      <c r="T12" s="293" t="s">
        <v>21</v>
      </c>
      <c r="U12" s="299">
        <v>20000</v>
      </c>
      <c r="V12" s="300">
        <f>P12</f>
        <v>50802634</v>
      </c>
      <c r="W12" s="300">
        <v>0</v>
      </c>
      <c r="X12" s="301">
        <f>psdf_namie_2024</f>
        <v>39564600</v>
      </c>
      <c r="Y12" s="312"/>
    </row>
    <row r="13" spans="1:25" x14ac:dyDescent="0.3">
      <c r="A13" s="311"/>
      <c r="B13" s="290" t="s">
        <v>32</v>
      </c>
      <c r="C13" s="299">
        <v>2850</v>
      </c>
      <c r="D13" s="300">
        <f>'I alternatyva'!Q28</f>
        <v>32989320</v>
      </c>
      <c r="E13" s="300">
        <f>'I alternatyva'!Q29</f>
        <v>3262680</v>
      </c>
      <c r="F13" s="301">
        <f>status_quo_psdf_centre</f>
        <v>0</v>
      </c>
      <c r="G13" s="312"/>
      <c r="H13" s="293" t="s">
        <v>32</v>
      </c>
      <c r="I13" s="299">
        <v>2850</v>
      </c>
      <c r="J13" s="300">
        <f>'I alternatyva'!Q28</f>
        <v>32989320</v>
      </c>
      <c r="K13" s="300">
        <f>'I alternatyva'!Q29</f>
        <v>3262680</v>
      </c>
      <c r="L13" s="301">
        <f>status_quo_psdf_centre</f>
        <v>0</v>
      </c>
      <c r="M13" s="312"/>
      <c r="N13" s="293" t="s">
        <v>32</v>
      </c>
      <c r="O13" s="299">
        <v>2850</v>
      </c>
      <c r="P13" s="300">
        <f>vb_centre_2024</f>
        <v>32989320</v>
      </c>
      <c r="Q13" s="300">
        <f>am_centre_2024</f>
        <v>3262680</v>
      </c>
      <c r="R13" s="301">
        <f>psdf_centre</f>
        <v>0</v>
      </c>
      <c r="S13" s="312"/>
      <c r="T13" s="293" t="s">
        <v>32</v>
      </c>
      <c r="U13" s="299">
        <v>2850</v>
      </c>
      <c r="V13" s="300">
        <f>vb_centre_2024+am_centre_2024</f>
        <v>36252000</v>
      </c>
      <c r="W13" s="300">
        <v>0</v>
      </c>
      <c r="X13" s="301">
        <f>psdf_centre</f>
        <v>0</v>
      </c>
      <c r="Y13" s="312"/>
    </row>
    <row r="14" spans="1:25" x14ac:dyDescent="0.3">
      <c r="A14" s="311"/>
      <c r="B14" s="290" t="s">
        <v>37</v>
      </c>
      <c r="C14" s="299">
        <v>14134</v>
      </c>
      <c r="D14" s="300">
        <f>'I alternatyva'!Q45</f>
        <v>165367800</v>
      </c>
      <c r="E14" s="300">
        <f>'I alternatyva'!Q46</f>
        <v>55122600</v>
      </c>
      <c r="F14" s="301">
        <f>'I alternatyva'!Q47</f>
        <v>83779740</v>
      </c>
      <c r="G14" s="312"/>
      <c r="H14" s="293" t="s">
        <v>37</v>
      </c>
      <c r="I14" s="299" cm="1">
        <f t="array" ref="I14:I16">'II alternatyva'!E45:E47</f>
        <v>16001</v>
      </c>
      <c r="J14" s="300">
        <f>'II alternatyva'!Q45</f>
        <v>187211700</v>
      </c>
      <c r="K14" s="300">
        <f>'II alternatyva'!Q46</f>
        <v>62403900</v>
      </c>
      <c r="L14" s="301">
        <f>'II alternatyva'!Q47</f>
        <v>64439613.209235728</v>
      </c>
      <c r="M14" s="312"/>
      <c r="N14" s="293" t="s">
        <v>37</v>
      </c>
      <c r="O14" s="299">
        <v>16001</v>
      </c>
      <c r="P14" s="300">
        <f>'III alternatyva'!Q45</f>
        <v>187211700</v>
      </c>
      <c r="Q14" s="300">
        <f>'III alternatyva'!Q46</f>
        <v>62403900</v>
      </c>
      <c r="R14" s="301">
        <f>'III alternatyva'!Q47</f>
        <v>64439613.209235728</v>
      </c>
      <c r="S14" s="312"/>
      <c r="T14" s="293" t="s">
        <v>37</v>
      </c>
      <c r="U14" s="299">
        <v>16001</v>
      </c>
      <c r="V14" s="300">
        <f>suma_vb_lovos_2024+suma_am_lovos_2024</f>
        <v>249615600</v>
      </c>
      <c r="W14" s="300">
        <v>0</v>
      </c>
      <c r="X14" s="301">
        <f>R14</f>
        <v>64439613.209235728</v>
      </c>
      <c r="Y14" s="312"/>
    </row>
    <row r="15" spans="1:25" x14ac:dyDescent="0.3">
      <c r="A15" s="311"/>
      <c r="B15" s="290" t="s">
        <v>54</v>
      </c>
      <c r="C15" s="299"/>
      <c r="D15" s="300">
        <v>0</v>
      </c>
      <c r="E15" s="300">
        <v>0</v>
      </c>
      <c r="F15" s="301">
        <v>0</v>
      </c>
      <c r="G15" s="312"/>
      <c r="H15" s="293" t="s">
        <v>54</v>
      </c>
      <c r="I15" s="299">
        <v>0</v>
      </c>
      <c r="J15" s="300">
        <v>0</v>
      </c>
      <c r="K15" s="300">
        <v>0</v>
      </c>
      <c r="L15" s="301">
        <v>0</v>
      </c>
      <c r="M15" s="312"/>
      <c r="N15" s="293" t="s">
        <v>54</v>
      </c>
      <c r="O15" s="299"/>
      <c r="P15" s="300">
        <f>sppd</f>
        <v>255360</v>
      </c>
      <c r="Q15" s="300">
        <v>0</v>
      </c>
      <c r="R15" s="301">
        <v>0</v>
      </c>
      <c r="S15" s="312"/>
      <c r="T15" s="293" t="s">
        <v>54</v>
      </c>
      <c r="U15" s="299"/>
      <c r="V15" s="300">
        <f>sppd</f>
        <v>255360</v>
      </c>
      <c r="W15" s="300">
        <v>0</v>
      </c>
      <c r="X15" s="301">
        <v>0</v>
      </c>
      <c r="Y15" s="312"/>
    </row>
    <row r="16" spans="1:25" x14ac:dyDescent="0.3">
      <c r="A16" s="311"/>
      <c r="B16" s="290" t="s">
        <v>55</v>
      </c>
      <c r="C16" s="299"/>
      <c r="D16" s="300">
        <v>0</v>
      </c>
      <c r="E16" s="300">
        <v>0</v>
      </c>
      <c r="F16" s="301">
        <v>0</v>
      </c>
      <c r="G16" s="312"/>
      <c r="H16" s="293" t="s">
        <v>55</v>
      </c>
      <c r="I16" s="299">
        <v>0</v>
      </c>
      <c r="J16" s="300">
        <v>0</v>
      </c>
      <c r="K16" s="300">
        <v>0</v>
      </c>
      <c r="L16" s="301">
        <v>0</v>
      </c>
      <c r="M16" s="312"/>
      <c r="N16" s="293" t="s">
        <v>55</v>
      </c>
      <c r="O16" s="299"/>
      <c r="P16" s="300">
        <f>savivalda</f>
        <v>2990746</v>
      </c>
      <c r="Q16" s="300">
        <v>0</v>
      </c>
      <c r="R16" s="301">
        <v>0</v>
      </c>
      <c r="S16" s="312"/>
      <c r="T16" s="293" t="s">
        <v>55</v>
      </c>
      <c r="U16" s="299"/>
      <c r="V16" s="300">
        <f>savivalda</f>
        <v>2990746</v>
      </c>
      <c r="W16" s="300">
        <v>0</v>
      </c>
      <c r="X16" s="301">
        <v>0</v>
      </c>
      <c r="Y16" s="312"/>
    </row>
    <row r="17" spans="1:25" x14ac:dyDescent="0.3">
      <c r="A17" s="310">
        <v>2025</v>
      </c>
      <c r="B17" s="294" t="s">
        <v>21</v>
      </c>
      <c r="C17" s="295">
        <v>2055</v>
      </c>
      <c r="D17" s="296">
        <f>'I alternatyva'!T11</f>
        <v>4253209.5</v>
      </c>
      <c r="E17" s="296">
        <f>'I alternatyva'!Q12</f>
        <v>730552.5</v>
      </c>
      <c r="F17" s="297">
        <f>'I alternatyva'!Q13</f>
        <v>0</v>
      </c>
      <c r="G17" s="312"/>
      <c r="H17" s="298" t="s">
        <v>21</v>
      </c>
      <c r="I17" s="295">
        <v>2055</v>
      </c>
      <c r="J17" s="296">
        <f>'II alternatyva'!T11</f>
        <v>4253209.5</v>
      </c>
      <c r="K17" s="296">
        <f>'I alternatyva'!Q12</f>
        <v>730552.5</v>
      </c>
      <c r="L17" s="297">
        <f>'I alternatyva'!Q13</f>
        <v>0</v>
      </c>
      <c r="M17" s="312"/>
      <c r="N17" s="298" t="s">
        <v>21</v>
      </c>
      <c r="O17" s="295">
        <v>21000</v>
      </c>
      <c r="P17" s="296">
        <f>'III alternatyva'!T11</f>
        <v>53287032</v>
      </c>
      <c r="Q17" s="296">
        <f>'III alternatyva'!Q12</f>
        <v>3311280</v>
      </c>
      <c r="R17" s="297">
        <f>'III alternatyva'!Q13</f>
        <v>42119280</v>
      </c>
      <c r="S17" s="312"/>
      <c r="T17" s="298" t="s">
        <v>21</v>
      </c>
      <c r="U17" s="295">
        <v>21000</v>
      </c>
      <c r="V17" s="296">
        <f>P17</f>
        <v>53287032</v>
      </c>
      <c r="W17" s="296">
        <v>0</v>
      </c>
      <c r="X17" s="297">
        <f>psdf_namie_2025</f>
        <v>42119280</v>
      </c>
      <c r="Y17" s="312"/>
    </row>
    <row r="18" spans="1:25" x14ac:dyDescent="0.3">
      <c r="A18" s="310"/>
      <c r="B18" s="294" t="s">
        <v>32</v>
      </c>
      <c r="C18" s="295">
        <v>2950</v>
      </c>
      <c r="D18" s="296">
        <f>'I alternatyva'!Q31</f>
        <v>34146840</v>
      </c>
      <c r="E18" s="296">
        <f>'I alternatyva'!Q32</f>
        <v>3377160</v>
      </c>
      <c r="F18" s="297">
        <f>status_quo_psdf_centre</f>
        <v>0</v>
      </c>
      <c r="G18" s="312"/>
      <c r="H18" s="298" t="s">
        <v>32</v>
      </c>
      <c r="I18" s="295">
        <v>2950</v>
      </c>
      <c r="J18" s="296">
        <f>'I alternatyva'!Q31</f>
        <v>34146840</v>
      </c>
      <c r="K18" s="296">
        <f>'I alternatyva'!Q32</f>
        <v>3377160</v>
      </c>
      <c r="L18" s="297">
        <f>status_quo_psdf_centre</f>
        <v>0</v>
      </c>
      <c r="M18" s="312"/>
      <c r="N18" s="298" t="s">
        <v>32</v>
      </c>
      <c r="O18" s="295">
        <v>2950</v>
      </c>
      <c r="P18" s="296">
        <f>vb_centre_2025</f>
        <v>34146840</v>
      </c>
      <c r="Q18" s="296">
        <f>am_centre_2025</f>
        <v>3377160</v>
      </c>
      <c r="R18" s="297">
        <f>psdf_centre</f>
        <v>0</v>
      </c>
      <c r="S18" s="312"/>
      <c r="T18" s="298" t="s">
        <v>32</v>
      </c>
      <c r="U18" s="295">
        <v>2950</v>
      </c>
      <c r="V18" s="296">
        <f>vb_centre_2025+am_centre_2025</f>
        <v>37524000</v>
      </c>
      <c r="W18" s="296">
        <v>0</v>
      </c>
      <c r="X18" s="297">
        <f>psdf_centre</f>
        <v>0</v>
      </c>
      <c r="Y18" s="312"/>
    </row>
    <row r="19" spans="1:25" x14ac:dyDescent="0.3">
      <c r="A19" s="310"/>
      <c r="B19" s="294" t="s">
        <v>37</v>
      </c>
      <c r="C19" s="295">
        <v>14134</v>
      </c>
      <c r="D19" s="296">
        <f>'I alternatyva'!Q48</f>
        <v>165367800</v>
      </c>
      <c r="E19" s="296">
        <f>'I alternatyva'!Q49</f>
        <v>55122600</v>
      </c>
      <c r="F19" s="297">
        <v>83765500</v>
      </c>
      <c r="G19" s="312"/>
      <c r="H19" s="298" t="s">
        <v>37</v>
      </c>
      <c r="I19" s="295" cm="1">
        <f t="array" ref="I19:I21">'II alternatyva'!E48:E50</f>
        <v>16001</v>
      </c>
      <c r="J19" s="296">
        <f>'II alternatyva'!Q48</f>
        <v>187211700</v>
      </c>
      <c r="K19" s="296">
        <f>'II alternatyva'!Q49</f>
        <v>62403900</v>
      </c>
      <c r="L19" s="297">
        <f>'II alternatyva'!Q50</f>
        <v>64439613.209235728</v>
      </c>
      <c r="M19" s="312"/>
      <c r="N19" s="298" t="s">
        <v>37</v>
      </c>
      <c r="O19" s="295">
        <v>16001</v>
      </c>
      <c r="P19" s="296">
        <f>suma_vb_lovos_2025</f>
        <v>187211700</v>
      </c>
      <c r="Q19" s="296">
        <f>suma_am_lovos_2025</f>
        <v>62403900</v>
      </c>
      <c r="R19" s="297">
        <f>'III alternatyva'!Q50</f>
        <v>64439613.209235728</v>
      </c>
      <c r="S19" s="312"/>
      <c r="T19" s="298" t="s">
        <v>37</v>
      </c>
      <c r="U19" s="295">
        <v>16001</v>
      </c>
      <c r="V19" s="296">
        <f>suma_vb_lovos_2025+suma_am_lovos_2025</f>
        <v>249615600</v>
      </c>
      <c r="W19" s="296">
        <v>0</v>
      </c>
      <c r="X19" s="297">
        <f>R19</f>
        <v>64439613.209235728</v>
      </c>
      <c r="Y19" s="312"/>
    </row>
    <row r="20" spans="1:25" x14ac:dyDescent="0.3">
      <c r="A20" s="310"/>
      <c r="B20" s="294" t="s">
        <v>54</v>
      </c>
      <c r="C20" s="295"/>
      <c r="D20" s="296">
        <v>0</v>
      </c>
      <c r="E20" s="296">
        <v>0</v>
      </c>
      <c r="F20" s="297">
        <v>0</v>
      </c>
      <c r="G20" s="312"/>
      <c r="H20" s="298" t="s">
        <v>54</v>
      </c>
      <c r="I20" s="295">
        <v>0</v>
      </c>
      <c r="J20" s="296">
        <v>0</v>
      </c>
      <c r="K20" s="296">
        <v>0</v>
      </c>
      <c r="L20" s="297">
        <v>0</v>
      </c>
      <c r="M20" s="312"/>
      <c r="N20" s="298" t="s">
        <v>54</v>
      </c>
      <c r="O20" s="295"/>
      <c r="P20" s="296">
        <f>sppd</f>
        <v>255360</v>
      </c>
      <c r="Q20" s="296">
        <v>0</v>
      </c>
      <c r="R20" s="297">
        <v>0</v>
      </c>
      <c r="S20" s="312"/>
      <c r="T20" s="298" t="s">
        <v>54</v>
      </c>
      <c r="U20" s="295"/>
      <c r="V20" s="296">
        <f>sppd</f>
        <v>255360</v>
      </c>
      <c r="W20" s="296">
        <v>0</v>
      </c>
      <c r="X20" s="297">
        <v>0</v>
      </c>
      <c r="Y20" s="312"/>
    </row>
    <row r="21" spans="1:25" x14ac:dyDescent="0.3">
      <c r="A21" s="310"/>
      <c r="B21" s="294" t="s">
        <v>55</v>
      </c>
      <c r="C21" s="295"/>
      <c r="D21" s="296">
        <v>0</v>
      </c>
      <c r="E21" s="296">
        <v>0</v>
      </c>
      <c r="F21" s="297">
        <v>0</v>
      </c>
      <c r="G21" s="312"/>
      <c r="H21" s="298" t="s">
        <v>55</v>
      </c>
      <c r="I21" s="295">
        <v>0</v>
      </c>
      <c r="J21" s="296">
        <v>0</v>
      </c>
      <c r="K21" s="296">
        <v>0</v>
      </c>
      <c r="L21" s="297">
        <v>0</v>
      </c>
      <c r="M21" s="312"/>
      <c r="N21" s="298" t="s">
        <v>55</v>
      </c>
      <c r="O21" s="295"/>
      <c r="P21" s="296">
        <f>savivalda</f>
        <v>2990746</v>
      </c>
      <c r="Q21" s="296">
        <v>0</v>
      </c>
      <c r="R21" s="297">
        <v>0</v>
      </c>
      <c r="S21" s="312"/>
      <c r="T21" s="298" t="s">
        <v>55</v>
      </c>
      <c r="U21" s="295"/>
      <c r="V21" s="296">
        <f>savivalda</f>
        <v>2990746</v>
      </c>
      <c r="W21" s="296">
        <v>0</v>
      </c>
      <c r="X21" s="297">
        <v>0</v>
      </c>
      <c r="Y21" s="312"/>
    </row>
    <row r="22" spans="1:25" x14ac:dyDescent="0.3">
      <c r="A22" s="311">
        <v>2026</v>
      </c>
      <c r="B22" s="290" t="s">
        <v>21</v>
      </c>
      <c r="C22" s="299">
        <v>2055</v>
      </c>
      <c r="D22" s="300">
        <f>'I alternatyva'!T15</f>
        <v>5811477.5</v>
      </c>
      <c r="E22" s="300">
        <f>'I alternatyva'!Q16</f>
        <v>730552.5</v>
      </c>
      <c r="F22" s="301">
        <f>'I alternatyva'!Q17</f>
        <v>0</v>
      </c>
      <c r="G22" s="312"/>
      <c r="H22" s="293" t="s">
        <v>21</v>
      </c>
      <c r="I22" s="299">
        <v>2055</v>
      </c>
      <c r="J22" s="300">
        <f>'II alternatyva'!T15</f>
        <v>5811477.5</v>
      </c>
      <c r="K22" s="300">
        <f>'I alternatyva'!Q16</f>
        <v>730552.5</v>
      </c>
      <c r="L22" s="301">
        <f>'I alternatyva'!Q17</f>
        <v>0</v>
      </c>
      <c r="M22" s="312"/>
      <c r="N22" s="293" t="s">
        <v>21</v>
      </c>
      <c r="O22" s="299">
        <v>22000</v>
      </c>
      <c r="P22" s="300">
        <f>'III alternatyva'!T15</f>
        <v>57841220</v>
      </c>
      <c r="Q22" s="300">
        <f>'III alternatyva'!Q16</f>
        <v>3468960</v>
      </c>
      <c r="R22" s="301">
        <f>psdf_namie_2026</f>
        <v>47070650</v>
      </c>
      <c r="S22" s="312"/>
      <c r="T22" s="293" t="s">
        <v>21</v>
      </c>
      <c r="U22" s="299">
        <v>22000</v>
      </c>
      <c r="V22" s="300">
        <f>P22</f>
        <v>57841220</v>
      </c>
      <c r="W22" s="300">
        <v>0</v>
      </c>
      <c r="X22" s="301">
        <f>psdf_namie_2026</f>
        <v>47070650</v>
      </c>
      <c r="Y22" s="312"/>
    </row>
    <row r="23" spans="1:25" x14ac:dyDescent="0.3">
      <c r="A23" s="311"/>
      <c r="B23" s="290" t="s">
        <v>32</v>
      </c>
      <c r="C23" s="299">
        <v>3200</v>
      </c>
      <c r="D23" s="300">
        <f>'I alternatyva'!Q34</f>
        <v>37040640</v>
      </c>
      <c r="E23" s="300">
        <f>'I alternatyva'!Q35</f>
        <v>3663360</v>
      </c>
      <c r="F23" s="301">
        <f>status_quo_psdf_centre</f>
        <v>0</v>
      </c>
      <c r="G23" s="312"/>
      <c r="H23" s="293" t="s">
        <v>32</v>
      </c>
      <c r="I23" s="299">
        <v>3200</v>
      </c>
      <c r="J23" s="300">
        <f>'I alternatyva'!Q34</f>
        <v>37040640</v>
      </c>
      <c r="K23" s="300">
        <f>'I alternatyva'!Q35</f>
        <v>3663360</v>
      </c>
      <c r="L23" s="301">
        <f>status_quo_psdf_centre</f>
        <v>0</v>
      </c>
      <c r="M23" s="312"/>
      <c r="N23" s="293" t="s">
        <v>32</v>
      </c>
      <c r="O23" s="299">
        <v>3200</v>
      </c>
      <c r="P23" s="300">
        <f>'III alternatyva'!Q34</f>
        <v>37040640</v>
      </c>
      <c r="Q23" s="300">
        <f>'III alternatyva'!Q35</f>
        <v>3663360</v>
      </c>
      <c r="R23" s="301">
        <f>psdf_centre</f>
        <v>0</v>
      </c>
      <c r="S23" s="312"/>
      <c r="T23" s="293" t="s">
        <v>32</v>
      </c>
      <c r="U23" s="299">
        <v>3200</v>
      </c>
      <c r="V23" s="300">
        <f>vb_centre_2026+am_centre_2026</f>
        <v>40704000</v>
      </c>
      <c r="W23" s="300">
        <v>0</v>
      </c>
      <c r="X23" s="301">
        <f>psdf_centre</f>
        <v>0</v>
      </c>
      <c r="Y23" s="312"/>
    </row>
    <row r="24" spans="1:25" x14ac:dyDescent="0.3">
      <c r="A24" s="311"/>
      <c r="B24" s="290" t="s">
        <v>37</v>
      </c>
      <c r="C24" s="299">
        <v>14134</v>
      </c>
      <c r="D24" s="300">
        <f>'I alternatyva'!Q51</f>
        <v>165367800</v>
      </c>
      <c r="E24" s="300">
        <f>'I alternatyva'!Q52</f>
        <v>55122600</v>
      </c>
      <c r="F24" s="301">
        <v>83765500</v>
      </c>
      <c r="G24" s="312"/>
      <c r="H24" s="293" t="s">
        <v>37</v>
      </c>
      <c r="I24" s="299" cm="1">
        <f t="array" ref="I24:I26">'II alternatyva'!E51:E53</f>
        <v>16201</v>
      </c>
      <c r="J24" s="300">
        <f>'II alternatyva'!Q51</f>
        <v>189551700</v>
      </c>
      <c r="K24" s="300">
        <f>'II alternatyva'!Q52</f>
        <v>63183900</v>
      </c>
      <c r="L24" s="301">
        <f>'II alternatyva'!Q53</f>
        <v>64439613.209235728</v>
      </c>
      <c r="M24" s="312"/>
      <c r="N24" s="293" t="s">
        <v>37</v>
      </c>
      <c r="O24" s="299">
        <v>16201</v>
      </c>
      <c r="P24" s="300">
        <f>'III alternatyva'!Q51</f>
        <v>189551700</v>
      </c>
      <c r="Q24" s="300">
        <f>'III alternatyva'!Q52</f>
        <v>63183900</v>
      </c>
      <c r="R24" s="301">
        <f>'III alternatyva'!Q53</f>
        <v>64439613.209235728</v>
      </c>
      <c r="S24" s="312"/>
      <c r="T24" s="293" t="s">
        <v>37</v>
      </c>
      <c r="U24" s="299">
        <v>16201</v>
      </c>
      <c r="V24" s="300">
        <f>suma_vb_lovos_2026+suma_am_lovos_2026</f>
        <v>252735600</v>
      </c>
      <c r="W24" s="300">
        <v>0</v>
      </c>
      <c r="X24" s="301">
        <f>R24</f>
        <v>64439613.209235728</v>
      </c>
      <c r="Y24" s="312"/>
    </row>
    <row r="25" spans="1:25" x14ac:dyDescent="0.3">
      <c r="A25" s="311"/>
      <c r="B25" s="290" t="s">
        <v>54</v>
      </c>
      <c r="C25" s="299"/>
      <c r="D25" s="300">
        <v>0</v>
      </c>
      <c r="E25" s="300">
        <v>0</v>
      </c>
      <c r="F25" s="301">
        <v>0</v>
      </c>
      <c r="G25" s="312"/>
      <c r="H25" s="293" t="s">
        <v>54</v>
      </c>
      <c r="I25" s="299">
        <v>0</v>
      </c>
      <c r="J25" s="300">
        <v>0</v>
      </c>
      <c r="K25" s="300">
        <v>0</v>
      </c>
      <c r="L25" s="301">
        <v>0</v>
      </c>
      <c r="M25" s="312"/>
      <c r="N25" s="293" t="s">
        <v>54</v>
      </c>
      <c r="O25" s="299"/>
      <c r="P25" s="300">
        <f>sppd</f>
        <v>255360</v>
      </c>
      <c r="Q25" s="300">
        <v>0</v>
      </c>
      <c r="R25" s="301">
        <v>0</v>
      </c>
      <c r="S25" s="312"/>
      <c r="T25" s="293" t="s">
        <v>54</v>
      </c>
      <c r="U25" s="299"/>
      <c r="V25" s="300">
        <f>sppd</f>
        <v>255360</v>
      </c>
      <c r="W25" s="300">
        <v>0</v>
      </c>
      <c r="X25" s="301">
        <v>0</v>
      </c>
      <c r="Y25" s="312"/>
    </row>
    <row r="26" spans="1:25" x14ac:dyDescent="0.3">
      <c r="A26" s="311"/>
      <c r="B26" s="290" t="s">
        <v>55</v>
      </c>
      <c r="C26" s="302"/>
      <c r="D26" s="300">
        <v>0</v>
      </c>
      <c r="E26" s="300">
        <v>0</v>
      </c>
      <c r="F26" s="301">
        <v>0</v>
      </c>
      <c r="G26" s="312"/>
      <c r="H26" s="293" t="s">
        <v>55</v>
      </c>
      <c r="I26" s="302">
        <v>0</v>
      </c>
      <c r="J26" s="300">
        <v>0</v>
      </c>
      <c r="K26" s="300">
        <v>0</v>
      </c>
      <c r="L26" s="301">
        <v>0</v>
      </c>
      <c r="M26" s="312"/>
      <c r="N26" s="293" t="s">
        <v>55</v>
      </c>
      <c r="O26" s="302"/>
      <c r="P26" s="300">
        <f>savivalda</f>
        <v>2990746</v>
      </c>
      <c r="Q26" s="300">
        <v>0</v>
      </c>
      <c r="R26" s="301">
        <v>0</v>
      </c>
      <c r="S26" s="312"/>
      <c r="T26" s="293" t="s">
        <v>55</v>
      </c>
      <c r="U26" s="302"/>
      <c r="V26" s="300">
        <f>savivalda</f>
        <v>2990746</v>
      </c>
      <c r="W26" s="300">
        <v>0</v>
      </c>
      <c r="X26" s="301">
        <v>0</v>
      </c>
      <c r="Y26" s="312"/>
    </row>
    <row r="27" spans="1:25" x14ac:dyDescent="0.3">
      <c r="D27" s="215"/>
      <c r="E27" s="215"/>
      <c r="F27" s="215"/>
      <c r="J27" s="215"/>
      <c r="K27" s="215"/>
      <c r="L27" s="215"/>
      <c r="P27" s="215"/>
      <c r="Q27" s="215"/>
      <c r="R27" s="215"/>
      <c r="V27" s="215"/>
      <c r="W27" s="215"/>
      <c r="X27" s="215"/>
    </row>
    <row r="28" spans="1:25" ht="15.6" customHeight="1" x14ac:dyDescent="0.3">
      <c r="B28" s="227" t="s">
        <v>149</v>
      </c>
      <c r="C28" s="226">
        <f>C7+C8+C9</f>
        <v>19039</v>
      </c>
      <c r="D28" s="228">
        <f t="shared" ref="D28:F28" si="1">D7+D8+D9</f>
        <v>194627953.5</v>
      </c>
      <c r="E28" s="228">
        <f t="shared" si="1"/>
        <v>67472845.5</v>
      </c>
      <c r="F28" s="228">
        <f t="shared" si="1"/>
        <v>83779740</v>
      </c>
      <c r="G28" s="217"/>
      <c r="H28" s="227" t="s">
        <v>149</v>
      </c>
      <c r="I28" s="226">
        <f>I7+I8+I9</f>
        <v>19039</v>
      </c>
      <c r="J28" s="228">
        <f t="shared" ref="J28:L28" si="2">J7+J8+J9</f>
        <v>194627953.5</v>
      </c>
      <c r="K28" s="228">
        <f t="shared" si="2"/>
        <v>67472845.5</v>
      </c>
      <c r="L28" s="228">
        <f t="shared" si="2"/>
        <v>83765500</v>
      </c>
      <c r="M28" s="217"/>
      <c r="N28" s="227" t="s">
        <v>149</v>
      </c>
      <c r="O28" s="226">
        <f>O7+O8+O9</f>
        <v>36184</v>
      </c>
      <c r="P28" s="228">
        <f t="shared" ref="P28:R28" si="3">P7+P8+P9</f>
        <v>237350358.59999999</v>
      </c>
      <c r="Q28" s="228">
        <f t="shared" si="3"/>
        <v>70688510.400000006</v>
      </c>
      <c r="R28" s="228">
        <f t="shared" si="3"/>
        <v>121220476</v>
      </c>
      <c r="S28" s="217"/>
      <c r="T28" s="227" t="s">
        <v>149</v>
      </c>
      <c r="U28" s="226">
        <f>U7+U8+U9</f>
        <v>36184</v>
      </c>
      <c r="V28" s="228">
        <f t="shared" ref="V28:X28" si="4">V7+V8+V9</f>
        <v>237350358.59999999</v>
      </c>
      <c r="W28" s="228">
        <f t="shared" si="4"/>
        <v>70688510.400000006</v>
      </c>
      <c r="X28" s="228">
        <f t="shared" si="4"/>
        <v>121220476</v>
      </c>
    </row>
    <row r="29" spans="1:25" ht="15" customHeight="1" x14ac:dyDescent="0.3">
      <c r="B29" s="227" t="s">
        <v>150</v>
      </c>
      <c r="C29" s="226">
        <f>C22+C23+C24</f>
        <v>19389</v>
      </c>
      <c r="D29" s="228">
        <f t="shared" ref="D29:F29" si="5">D22+D23+D24</f>
        <v>208219917.5</v>
      </c>
      <c r="E29" s="228">
        <f t="shared" si="5"/>
        <v>59516512.5</v>
      </c>
      <c r="F29" s="228">
        <f t="shared" si="5"/>
        <v>83765500</v>
      </c>
      <c r="G29" s="217"/>
      <c r="H29" s="227" t="s">
        <v>150</v>
      </c>
      <c r="I29" s="226">
        <f>I22+I23+I24</f>
        <v>21456</v>
      </c>
      <c r="J29" s="228">
        <f t="shared" ref="J29:L29" si="6">J22+J23+J24</f>
        <v>232403817.5</v>
      </c>
      <c r="K29" s="228">
        <f t="shared" si="6"/>
        <v>67577812.5</v>
      </c>
      <c r="L29" s="228">
        <f t="shared" si="6"/>
        <v>64439613.209235728</v>
      </c>
      <c r="M29" s="217"/>
      <c r="N29" s="227" t="s">
        <v>150</v>
      </c>
      <c r="O29" s="226">
        <f>O22+O23+O24</f>
        <v>41401</v>
      </c>
      <c r="P29" s="228">
        <f t="shared" ref="P29:R29" si="7">P22+P23+P24</f>
        <v>284433560</v>
      </c>
      <c r="Q29" s="228">
        <f t="shared" si="7"/>
        <v>70316220</v>
      </c>
      <c r="R29" s="228">
        <f t="shared" si="7"/>
        <v>111510263.20923573</v>
      </c>
      <c r="S29" s="217"/>
      <c r="T29" s="227" t="s">
        <v>150</v>
      </c>
      <c r="U29" s="226">
        <f>U22+U23+U24</f>
        <v>41401</v>
      </c>
      <c r="V29" s="228">
        <f t="shared" ref="V29:X29" si="8">V22+V23+V24</f>
        <v>351280820</v>
      </c>
      <c r="W29" s="228">
        <f t="shared" si="8"/>
        <v>0</v>
      </c>
      <c r="X29" s="228">
        <f t="shared" si="8"/>
        <v>111510263.20923573</v>
      </c>
    </row>
    <row r="30" spans="1:25" ht="18.600000000000001" customHeight="1" x14ac:dyDescent="0.3">
      <c r="B30" s="227" t="s">
        <v>151</v>
      </c>
      <c r="C30" s="229">
        <f>C29-C28</f>
        <v>350</v>
      </c>
      <c r="D30" s="230">
        <f t="shared" ref="D30" si="9">D29-D28</f>
        <v>13591964</v>
      </c>
      <c r="E30" s="230">
        <f t="shared" ref="E30" si="10">E29-E28</f>
        <v>-7956333</v>
      </c>
      <c r="F30" s="230">
        <f t="shared" ref="F30" si="11">F29-F28</f>
        <v>-14240</v>
      </c>
      <c r="G30" s="217"/>
      <c r="H30" s="227" t="s">
        <v>151</v>
      </c>
      <c r="I30" s="229">
        <f>I29-I28</f>
        <v>2417</v>
      </c>
      <c r="J30" s="230">
        <f t="shared" ref="J30" si="12">J29-J28</f>
        <v>37775864</v>
      </c>
      <c r="K30" s="230">
        <f t="shared" ref="K30" si="13">K29-K28</f>
        <v>104967</v>
      </c>
      <c r="L30" s="230">
        <f t="shared" ref="L30" si="14">L29-L28</f>
        <v>-19325886.790764272</v>
      </c>
      <c r="M30" s="217"/>
      <c r="N30" s="227" t="s">
        <v>151</v>
      </c>
      <c r="O30" s="229">
        <f>O29-O28</f>
        <v>5217</v>
      </c>
      <c r="P30" s="230">
        <f t="shared" ref="P30" si="15">P29-P28</f>
        <v>47083201.400000006</v>
      </c>
      <c r="Q30" s="230">
        <f t="shared" ref="Q30" si="16">Q29-Q28</f>
        <v>-372290.40000000596</v>
      </c>
      <c r="R30" s="230">
        <f t="shared" ref="R30" si="17">R29-R28</f>
        <v>-9710212.7907642722</v>
      </c>
      <c r="S30" s="217"/>
      <c r="T30" s="227" t="s">
        <v>151</v>
      </c>
      <c r="U30" s="229">
        <f>U29-U28</f>
        <v>5217</v>
      </c>
      <c r="V30" s="230">
        <f t="shared" ref="V30" si="18">V29-V28</f>
        <v>113930461.40000001</v>
      </c>
      <c r="W30" s="230">
        <f t="shared" ref="W30" si="19">W29-W28</f>
        <v>-70688510.400000006</v>
      </c>
      <c r="X30" s="230">
        <f t="shared" ref="X30" si="20">X29-X28</f>
        <v>-9710212.7907642722</v>
      </c>
    </row>
    <row r="31" spans="1:25" ht="66.75" customHeight="1" x14ac:dyDescent="0.3">
      <c r="B31" s="252" t="s">
        <v>166</v>
      </c>
      <c r="C31" s="321" t="s">
        <v>171</v>
      </c>
      <c r="D31" s="322"/>
      <c r="E31" s="322"/>
      <c r="F31" s="322"/>
      <c r="H31" s="252" t="s">
        <v>166</v>
      </c>
      <c r="I31" s="321" t="s">
        <v>171</v>
      </c>
      <c r="J31" s="322"/>
      <c r="K31" s="322"/>
      <c r="L31" s="322"/>
      <c r="N31" s="252" t="s">
        <v>166</v>
      </c>
      <c r="O31" s="321" t="s">
        <v>171</v>
      </c>
      <c r="P31" s="322"/>
      <c r="Q31" s="322"/>
      <c r="R31" s="322"/>
      <c r="T31" s="252" t="s">
        <v>166</v>
      </c>
      <c r="U31" s="321" t="s">
        <v>171</v>
      </c>
      <c r="V31" s="322"/>
      <c r="W31" s="322"/>
      <c r="X31" s="322"/>
    </row>
    <row r="32" spans="1:25" ht="22.95" customHeight="1" x14ac:dyDescent="0.3">
      <c r="B32" s="253" t="s">
        <v>156</v>
      </c>
      <c r="C32" s="254">
        <v>37031000</v>
      </c>
      <c r="D32" s="319" t="s">
        <v>157</v>
      </c>
      <c r="E32" s="320"/>
      <c r="F32" s="320"/>
      <c r="H32" s="253" t="s">
        <v>156</v>
      </c>
      <c r="I32" s="254">
        <v>37031000</v>
      </c>
      <c r="J32" s="319" t="s">
        <v>157</v>
      </c>
      <c r="K32" s="320"/>
      <c r="L32" s="320"/>
      <c r="N32" s="253" t="s">
        <v>156</v>
      </c>
      <c r="O32" s="254">
        <v>37031000</v>
      </c>
      <c r="P32" s="319" t="s">
        <v>157</v>
      </c>
      <c r="Q32" s="320"/>
      <c r="R32" s="320"/>
      <c r="T32" s="253" t="s">
        <v>156</v>
      </c>
      <c r="U32" s="254">
        <v>37031000</v>
      </c>
      <c r="V32" s="319" t="s">
        <v>157</v>
      </c>
      <c r="W32" s="320"/>
      <c r="X32" s="320"/>
    </row>
    <row r="33" spans="2:24" ht="84.75" customHeight="1" x14ac:dyDescent="0.3">
      <c r="B33" s="255"/>
      <c r="C33" s="256"/>
      <c r="D33" s="320"/>
      <c r="E33" s="320"/>
      <c r="F33" s="320"/>
      <c r="H33" s="255"/>
      <c r="I33" s="256"/>
      <c r="J33" s="320"/>
      <c r="K33" s="320"/>
      <c r="L33" s="320"/>
      <c r="N33" s="255"/>
      <c r="O33" s="256"/>
      <c r="P33" s="320"/>
      <c r="Q33" s="320"/>
      <c r="R33" s="320"/>
      <c r="T33" s="255"/>
      <c r="U33" s="256"/>
      <c r="V33" s="320"/>
      <c r="W33" s="320"/>
      <c r="X33" s="320"/>
    </row>
    <row r="34" spans="2:24" ht="322.5" customHeight="1" x14ac:dyDescent="0.3">
      <c r="B34" s="315" t="s">
        <v>167</v>
      </c>
      <c r="C34" s="315"/>
      <c r="D34" s="315"/>
      <c r="E34" s="315"/>
      <c r="F34" s="315"/>
      <c r="H34" s="315" t="s">
        <v>168</v>
      </c>
      <c r="I34" s="315"/>
      <c r="J34" s="315"/>
      <c r="K34" s="315"/>
      <c r="L34" s="315"/>
      <c r="N34" s="315" t="s">
        <v>169</v>
      </c>
      <c r="O34" s="315"/>
      <c r="P34" s="315"/>
      <c r="Q34" s="315"/>
      <c r="R34" s="315"/>
      <c r="T34" s="315" t="s">
        <v>170</v>
      </c>
      <c r="U34" s="315"/>
      <c r="V34" s="315"/>
      <c r="W34" s="315"/>
      <c r="X34" s="315"/>
    </row>
    <row r="35" spans="2:24" x14ac:dyDescent="0.3">
      <c r="B35" s="232"/>
      <c r="C35" s="232"/>
      <c r="D35" s="232"/>
      <c r="E35" s="232"/>
      <c r="F35" s="232"/>
    </row>
    <row r="36" spans="2:24" x14ac:dyDescent="0.3">
      <c r="B36" s="232"/>
      <c r="C36" s="232"/>
      <c r="D36" s="232"/>
      <c r="E36" s="232"/>
      <c r="F36" s="232"/>
    </row>
    <row r="37" spans="2:24" x14ac:dyDescent="0.3">
      <c r="B37" s="232"/>
      <c r="C37" s="232"/>
      <c r="D37" s="232"/>
      <c r="E37" s="232"/>
      <c r="F37" s="232"/>
      <c r="I37" s="231"/>
    </row>
    <row r="38" spans="2:24" x14ac:dyDescent="0.3">
      <c r="B38" s="232"/>
      <c r="C38" s="232"/>
      <c r="D38" s="232"/>
      <c r="E38" s="232"/>
      <c r="F38" s="232"/>
    </row>
    <row r="39" spans="2:24" x14ac:dyDescent="0.3">
      <c r="B39" s="232"/>
      <c r="C39" s="232"/>
      <c r="D39" s="232"/>
      <c r="E39" s="232"/>
      <c r="F39" s="232"/>
    </row>
    <row r="40" spans="2:24" x14ac:dyDescent="0.3">
      <c r="B40" s="232"/>
      <c r="C40" s="232"/>
      <c r="D40" s="232"/>
      <c r="E40" s="232"/>
      <c r="F40" s="232"/>
    </row>
    <row r="41" spans="2:24" x14ac:dyDescent="0.3">
      <c r="B41" s="232"/>
      <c r="C41" s="232"/>
      <c r="D41" s="232"/>
      <c r="E41" s="232"/>
      <c r="F41" s="232"/>
    </row>
    <row r="42" spans="2:24" x14ac:dyDescent="0.3">
      <c r="B42" s="232"/>
      <c r="C42" s="232"/>
      <c r="D42" s="232"/>
      <c r="E42" s="232"/>
      <c r="F42" s="232"/>
    </row>
    <row r="43" spans="2:24" x14ac:dyDescent="0.3">
      <c r="B43" s="232"/>
      <c r="C43" s="232"/>
      <c r="D43" s="232"/>
      <c r="E43" s="232"/>
      <c r="F43" s="232"/>
    </row>
    <row r="44" spans="2:24" x14ac:dyDescent="0.3">
      <c r="B44" s="232"/>
      <c r="C44" s="232"/>
      <c r="D44" s="232"/>
      <c r="E44" s="232"/>
      <c r="F44" s="232"/>
    </row>
    <row r="45" spans="2:24" x14ac:dyDescent="0.3">
      <c r="B45" s="232"/>
      <c r="C45" s="232"/>
      <c r="D45" s="232"/>
      <c r="E45" s="232"/>
      <c r="F45" s="232"/>
    </row>
    <row r="46" spans="2:24" x14ac:dyDescent="0.3">
      <c r="B46" s="232"/>
      <c r="C46" s="232"/>
      <c r="D46" s="232"/>
      <c r="E46" s="232"/>
      <c r="F46" s="232"/>
    </row>
    <row r="47" spans="2:24" x14ac:dyDescent="0.3">
      <c r="B47" s="232"/>
      <c r="C47" s="232"/>
      <c r="D47" s="232"/>
      <c r="E47" s="232"/>
      <c r="F47" s="232"/>
    </row>
    <row r="48" spans="2:24" x14ac:dyDescent="0.3">
      <c r="B48" s="232"/>
      <c r="C48" s="232"/>
      <c r="D48" s="232"/>
      <c r="E48" s="232"/>
      <c r="F48" s="232"/>
    </row>
    <row r="49" spans="2:6" x14ac:dyDescent="0.3">
      <c r="B49" s="232"/>
      <c r="C49" s="232"/>
      <c r="D49" s="232"/>
      <c r="E49" s="232"/>
      <c r="F49" s="232"/>
    </row>
    <row r="50" spans="2:6" x14ac:dyDescent="0.3">
      <c r="B50" s="232"/>
      <c r="C50" s="232"/>
      <c r="D50" s="232"/>
      <c r="E50" s="232"/>
      <c r="F50" s="232"/>
    </row>
    <row r="51" spans="2:6" x14ac:dyDescent="0.3">
      <c r="B51" s="232"/>
      <c r="C51" s="232"/>
      <c r="D51" s="232"/>
      <c r="E51" s="232"/>
      <c r="F51" s="232"/>
    </row>
  </sheetData>
  <mergeCells count="33">
    <mergeCell ref="C31:F31"/>
    <mergeCell ref="I31:L31"/>
    <mergeCell ref="V32:X33"/>
    <mergeCell ref="O31:R31"/>
    <mergeCell ref="U31:X31"/>
    <mergeCell ref="P32:R33"/>
    <mergeCell ref="N34:R34"/>
    <mergeCell ref="T34:X34"/>
    <mergeCell ref="B1:Y2"/>
    <mergeCell ref="B3:G3"/>
    <mergeCell ref="H3:M3"/>
    <mergeCell ref="N3:S3"/>
    <mergeCell ref="T3:Y3"/>
    <mergeCell ref="B4:F4"/>
    <mergeCell ref="H4:L4"/>
    <mergeCell ref="B5:F5"/>
    <mergeCell ref="H5:L5"/>
    <mergeCell ref="D32:F33"/>
    <mergeCell ref="B34:F34"/>
    <mergeCell ref="J32:L33"/>
    <mergeCell ref="H34:L34"/>
    <mergeCell ref="Y4:Y26"/>
    <mergeCell ref="T4:X4"/>
    <mergeCell ref="A7:A11"/>
    <mergeCell ref="A12:A16"/>
    <mergeCell ref="A22:A26"/>
    <mergeCell ref="A17:A21"/>
    <mergeCell ref="G4:G26"/>
    <mergeCell ref="M4:M26"/>
    <mergeCell ref="S4:S26"/>
    <mergeCell ref="N4:R4"/>
    <mergeCell ref="N5:R5"/>
    <mergeCell ref="T5:X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1D9A-5B67-4282-BD86-F5527E0AED7C}">
  <dimension ref="A1:Z66"/>
  <sheetViews>
    <sheetView zoomScale="80" zoomScaleNormal="80" workbookViewId="0">
      <pane ySplit="1" topLeftCell="A2" activePane="bottomLeft" state="frozen"/>
      <selection pane="bottomLeft" activeCell="R2" sqref="R2:R5"/>
    </sheetView>
  </sheetViews>
  <sheetFormatPr defaultColWidth="9.109375" defaultRowHeight="15.6" x14ac:dyDescent="0.3"/>
  <cols>
    <col min="1" max="1" width="13.6640625" style="2" customWidth="1"/>
    <col min="2" max="2" width="30.6640625" style="2" customWidth="1"/>
    <col min="3" max="3" width="17.88671875" style="2" customWidth="1"/>
    <col min="4" max="4" width="11.109375" style="26" customWidth="1"/>
    <col min="5" max="5" width="15.88671875" style="6" customWidth="1"/>
    <col min="6" max="6" width="16.5546875" style="6" customWidth="1"/>
    <col min="7" max="7" width="12.5546875" style="6" customWidth="1"/>
    <col min="8" max="8" width="15.109375" style="6" customWidth="1"/>
    <col min="9" max="9" width="12.33203125" style="6" customWidth="1"/>
    <col min="10" max="10" width="11.109375" style="6" customWidth="1"/>
    <col min="11" max="11" width="12.88671875" style="6" customWidth="1"/>
    <col min="12" max="14" width="12.5546875" style="6" customWidth="1"/>
    <col min="15" max="15" width="14.6640625" style="6" customWidth="1"/>
    <col min="16" max="16" width="27.5546875" style="2" customWidth="1"/>
    <col min="17" max="17" width="13.6640625" style="2" customWidth="1"/>
    <col min="18" max="18" width="15.88671875" style="2" customWidth="1"/>
    <col min="19" max="19" width="30.44140625" style="2" customWidth="1"/>
    <col min="20" max="20" width="13.109375" style="2" bestFit="1" customWidth="1"/>
    <col min="21" max="21" width="11.6640625" style="2" customWidth="1"/>
    <col min="22" max="22" width="14.6640625" style="2" customWidth="1"/>
    <col min="23" max="23" width="13" style="2" customWidth="1"/>
    <col min="24" max="24" width="16.109375" style="2" customWidth="1"/>
    <col min="25" max="25" width="15.109375" style="2" customWidth="1"/>
    <col min="26" max="26" width="14.88671875" style="2" customWidth="1"/>
    <col min="27" max="16384" width="9.109375" style="2"/>
  </cols>
  <sheetData>
    <row r="1" spans="1:22" s="8" customFormat="1" ht="48" customHeight="1" x14ac:dyDescent="0.3">
      <c r="A1" s="370" t="s">
        <v>1</v>
      </c>
      <c r="B1" s="346" t="s">
        <v>2</v>
      </c>
      <c r="C1" s="346"/>
      <c r="D1" s="346" t="s">
        <v>3</v>
      </c>
      <c r="E1" s="355" t="s">
        <v>4</v>
      </c>
      <c r="F1" s="355"/>
      <c r="G1" s="355"/>
      <c r="H1" s="355"/>
      <c r="I1" s="345" t="s">
        <v>5</v>
      </c>
      <c r="J1" s="345"/>
      <c r="K1" s="346"/>
      <c r="L1" s="347" t="s">
        <v>6</v>
      </c>
      <c r="M1" s="347"/>
      <c r="N1" s="347"/>
      <c r="O1" s="331" t="s">
        <v>7</v>
      </c>
      <c r="P1" s="332"/>
      <c r="Q1" s="332"/>
      <c r="R1" s="332"/>
      <c r="S1" s="7"/>
      <c r="T1" s="7"/>
    </row>
    <row r="2" spans="1:22" s="8" customFormat="1" ht="66.75" customHeight="1" x14ac:dyDescent="0.3">
      <c r="A2" s="371"/>
      <c r="B2" s="372"/>
      <c r="C2" s="372"/>
      <c r="D2" s="372"/>
      <c r="E2" s="54" t="s">
        <v>8</v>
      </c>
      <c r="F2" s="54" t="s">
        <v>9</v>
      </c>
      <c r="G2" s="54" t="s">
        <v>10</v>
      </c>
      <c r="H2" s="54" t="s">
        <v>11</v>
      </c>
      <c r="I2" s="55" t="s">
        <v>12</v>
      </c>
      <c r="J2" s="55" t="s">
        <v>13</v>
      </c>
      <c r="K2" s="55" t="s">
        <v>14</v>
      </c>
      <c r="L2" s="56" t="s">
        <v>15</v>
      </c>
      <c r="M2" s="56" t="s">
        <v>16</v>
      </c>
      <c r="N2" s="57" t="s">
        <v>14</v>
      </c>
      <c r="O2" s="58" t="s">
        <v>17</v>
      </c>
      <c r="P2" s="59" t="s">
        <v>18</v>
      </c>
      <c r="Q2" s="59" t="s">
        <v>19</v>
      </c>
      <c r="R2" s="59" t="s">
        <v>20</v>
      </c>
      <c r="S2" s="7"/>
      <c r="T2" s="7"/>
    </row>
    <row r="3" spans="1:22" s="5" customFormat="1" ht="26.25" customHeight="1" x14ac:dyDescent="0.25">
      <c r="A3" s="382" t="s">
        <v>21</v>
      </c>
      <c r="B3" s="373" t="s">
        <v>22</v>
      </c>
      <c r="C3" s="356">
        <v>4240</v>
      </c>
      <c r="D3" s="348">
        <v>2023</v>
      </c>
      <c r="E3" s="333">
        <v>19200</v>
      </c>
      <c r="F3" s="167" t="s">
        <v>23</v>
      </c>
      <c r="G3" s="168">
        <v>0.18</v>
      </c>
      <c r="H3" s="52">
        <f>$E$3*G3</f>
        <v>3456</v>
      </c>
      <c r="I3" s="48">
        <v>100</v>
      </c>
      <c r="J3" s="49">
        <v>7.9</v>
      </c>
      <c r="K3" s="50">
        <f>H3*I3*J3*12</f>
        <v>32762880</v>
      </c>
      <c r="L3" s="169">
        <v>260</v>
      </c>
      <c r="M3" s="39">
        <v>15.25</v>
      </c>
      <c r="N3" s="40">
        <f>H3*L3*M3</f>
        <v>13703040</v>
      </c>
      <c r="O3" s="342">
        <f>K6+N6</f>
        <v>98004096</v>
      </c>
      <c r="P3" s="170" t="s">
        <v>24</v>
      </c>
      <c r="Q3" s="50">
        <f>K6-Q4</f>
        <v>56310681.600000001</v>
      </c>
      <c r="R3" s="41"/>
      <c r="S3" s="153"/>
    </row>
    <row r="4" spans="1:22" s="5" customFormat="1" ht="26.25" customHeight="1" x14ac:dyDescent="0.25">
      <c r="A4" s="382"/>
      <c r="B4" s="337"/>
      <c r="C4" s="357"/>
      <c r="D4" s="349"/>
      <c r="E4" s="334"/>
      <c r="F4" s="171" t="s">
        <v>25</v>
      </c>
      <c r="G4" s="172">
        <v>0.37</v>
      </c>
      <c r="H4" s="173">
        <f t="shared" ref="H4:H5" si="0">$E$3*G4</f>
        <v>7104</v>
      </c>
      <c r="I4" s="174">
        <v>30</v>
      </c>
      <c r="J4" s="175">
        <v>6</v>
      </c>
      <c r="K4" s="176">
        <f>H4*I4*J4*12</f>
        <v>15344640</v>
      </c>
      <c r="L4" s="177">
        <v>156</v>
      </c>
      <c r="M4" s="178">
        <v>15.25</v>
      </c>
      <c r="N4" s="179">
        <f>H4*L4*M4</f>
        <v>16900416</v>
      </c>
      <c r="O4" s="343"/>
      <c r="P4" s="180" t="s">
        <v>26</v>
      </c>
      <c r="Q4" s="161">
        <f>K6*0.07</f>
        <v>4238438.4000000004</v>
      </c>
      <c r="R4" s="42"/>
      <c r="S4" s="154"/>
    </row>
    <row r="5" spans="1:22" s="5" customFormat="1" ht="26.25" customHeight="1" x14ac:dyDescent="0.25">
      <c r="A5" s="382"/>
      <c r="B5" s="337" t="s">
        <v>27</v>
      </c>
      <c r="C5" s="357">
        <v>2540</v>
      </c>
      <c r="D5" s="349"/>
      <c r="E5" s="334"/>
      <c r="F5" s="181" t="s">
        <v>28</v>
      </c>
      <c r="G5" s="182">
        <v>0.45</v>
      </c>
      <c r="H5" s="11">
        <f t="shared" si="0"/>
        <v>8640</v>
      </c>
      <c r="I5" s="183">
        <v>20</v>
      </c>
      <c r="J5" s="184">
        <v>6</v>
      </c>
      <c r="K5" s="185">
        <f>H5*I5*J5*12</f>
        <v>12441600</v>
      </c>
      <c r="L5" s="186">
        <v>52</v>
      </c>
      <c r="M5" s="187">
        <v>15.25</v>
      </c>
      <c r="N5" s="188">
        <f>H5*L5*M5</f>
        <v>6851520</v>
      </c>
      <c r="O5" s="354"/>
      <c r="P5" s="189" t="s">
        <v>29</v>
      </c>
      <c r="Q5" s="18">
        <f>N6</f>
        <v>37454976</v>
      </c>
      <c r="R5" s="43"/>
      <c r="S5" s="401"/>
      <c r="T5" s="401"/>
      <c r="U5" s="401"/>
    </row>
    <row r="6" spans="1:22" s="5" customFormat="1" ht="26.25" customHeight="1" x14ac:dyDescent="0.25">
      <c r="A6" s="382"/>
      <c r="B6" s="338"/>
      <c r="C6" s="358"/>
      <c r="D6" s="350"/>
      <c r="E6" s="335"/>
      <c r="F6" s="402" t="s">
        <v>30</v>
      </c>
      <c r="G6" s="396"/>
      <c r="H6" s="396"/>
      <c r="I6" s="396"/>
      <c r="J6" s="397"/>
      <c r="K6" s="190">
        <f>SUM(K3:K5)</f>
        <v>60549120</v>
      </c>
      <c r="L6" s="365" t="s">
        <v>30</v>
      </c>
      <c r="M6" s="366"/>
      <c r="N6" s="191">
        <f>SUM(N3:N5)</f>
        <v>37454976</v>
      </c>
      <c r="O6" s="344"/>
      <c r="P6" s="367"/>
      <c r="Q6" s="368"/>
      <c r="R6" s="369"/>
      <c r="S6" s="153"/>
    </row>
    <row r="7" spans="1:22" s="4" customFormat="1" ht="26.25" customHeight="1" x14ac:dyDescent="0.25">
      <c r="A7" s="382"/>
      <c r="B7" s="359"/>
      <c r="C7" s="360"/>
      <c r="D7" s="351">
        <v>2024</v>
      </c>
      <c r="E7" s="339">
        <v>20000</v>
      </c>
      <c r="F7" s="34" t="s">
        <v>23</v>
      </c>
      <c r="G7" s="192">
        <v>0.18</v>
      </c>
      <c r="H7" s="35">
        <f>$E$7*G7</f>
        <v>3600</v>
      </c>
      <c r="I7" s="36">
        <v>100</v>
      </c>
      <c r="J7" s="37">
        <v>7.9</v>
      </c>
      <c r="K7" s="38">
        <f>H7*I7*J7*12</f>
        <v>34128000</v>
      </c>
      <c r="L7" s="193">
        <v>270</v>
      </c>
      <c r="M7" s="39">
        <v>15.25</v>
      </c>
      <c r="N7" s="40">
        <f>H7*L7*M7</f>
        <v>14823000</v>
      </c>
      <c r="O7" s="342">
        <f>K10+N10</f>
        <v>102636600</v>
      </c>
      <c r="P7" s="170" t="s">
        <v>24</v>
      </c>
      <c r="Q7" s="50">
        <f>K10-Q8</f>
        <v>59918400</v>
      </c>
      <c r="R7" s="41">
        <f>Q3-Q7</f>
        <v>-3607718.3999999985</v>
      </c>
      <c r="S7" s="5"/>
      <c r="T7" s="5"/>
      <c r="U7" s="5"/>
      <c r="V7" s="155"/>
    </row>
    <row r="8" spans="1:22" s="4" customFormat="1" ht="41.4" customHeight="1" x14ac:dyDescent="0.25">
      <c r="A8" s="382"/>
      <c r="B8" s="361"/>
      <c r="C8" s="362"/>
      <c r="D8" s="352"/>
      <c r="E8" s="340"/>
      <c r="F8" s="27" t="s">
        <v>25</v>
      </c>
      <c r="G8" s="194">
        <v>0.37</v>
      </c>
      <c r="H8" s="11">
        <f t="shared" ref="H8" si="1">$E$7*G8</f>
        <v>7400</v>
      </c>
      <c r="I8" s="12">
        <v>30</v>
      </c>
      <c r="J8" s="23">
        <v>6</v>
      </c>
      <c r="K8" s="16">
        <f>H8*I8*J8*12</f>
        <v>15984000</v>
      </c>
      <c r="L8" s="14">
        <v>156</v>
      </c>
      <c r="M8" s="22">
        <v>15.25</v>
      </c>
      <c r="N8" s="18">
        <f t="shared" ref="N8:N9" si="2">H8*L8*M8</f>
        <v>17604600</v>
      </c>
      <c r="O8" s="343"/>
      <c r="P8" s="180" t="s">
        <v>130</v>
      </c>
      <c r="Q8" s="161">
        <f>K10*0.05</f>
        <v>3153600</v>
      </c>
      <c r="R8" s="161"/>
      <c r="S8" s="158"/>
      <c r="T8" s="159"/>
      <c r="U8" s="159"/>
      <c r="V8" s="160"/>
    </row>
    <row r="9" spans="1:22" s="4" customFormat="1" ht="26.25" customHeight="1" x14ac:dyDescent="0.25">
      <c r="A9" s="382"/>
      <c r="B9" s="361"/>
      <c r="C9" s="362"/>
      <c r="D9" s="352"/>
      <c r="E9" s="340"/>
      <c r="F9" s="28" t="s">
        <v>28</v>
      </c>
      <c r="G9" s="182">
        <v>0.45</v>
      </c>
      <c r="H9" s="11">
        <f>$E$7*G9</f>
        <v>9000</v>
      </c>
      <c r="I9" s="13">
        <v>20</v>
      </c>
      <c r="J9" s="21">
        <v>6</v>
      </c>
      <c r="K9" s="17">
        <f>H9*I9*J9*12</f>
        <v>12960000</v>
      </c>
      <c r="L9" s="14">
        <v>52</v>
      </c>
      <c r="M9" s="22">
        <v>15.25</v>
      </c>
      <c r="N9" s="18">
        <f t="shared" si="2"/>
        <v>7137000</v>
      </c>
      <c r="O9" s="343"/>
      <c r="P9" s="189" t="s">
        <v>29</v>
      </c>
      <c r="Q9" s="18">
        <f>N10</f>
        <v>39564600</v>
      </c>
      <c r="R9" s="43">
        <f>Q5-Q9</f>
        <v>-2109624</v>
      </c>
      <c r="S9" s="5"/>
      <c r="T9" s="5"/>
      <c r="U9" s="5"/>
      <c r="V9" s="5"/>
    </row>
    <row r="10" spans="1:22" s="4" customFormat="1" ht="26.25" customHeight="1" x14ac:dyDescent="0.25">
      <c r="A10" s="382"/>
      <c r="B10" s="363"/>
      <c r="C10" s="364"/>
      <c r="D10" s="353"/>
      <c r="E10" s="341"/>
      <c r="F10" s="396" t="s">
        <v>30</v>
      </c>
      <c r="G10" s="396"/>
      <c r="H10" s="396"/>
      <c r="I10" s="396"/>
      <c r="J10" s="397"/>
      <c r="K10" s="19">
        <f>SUM(K7:K9)</f>
        <v>63072000</v>
      </c>
      <c r="L10" s="365" t="s">
        <v>30</v>
      </c>
      <c r="M10" s="366"/>
      <c r="N10" s="20">
        <f>SUM(N7:N9)</f>
        <v>39564600</v>
      </c>
      <c r="O10" s="344"/>
      <c r="P10" s="403"/>
      <c r="Q10" s="404"/>
      <c r="R10" s="405"/>
      <c r="S10" s="5"/>
      <c r="T10" s="5"/>
      <c r="U10" s="5"/>
      <c r="V10" s="5"/>
    </row>
    <row r="11" spans="1:22" s="5" customFormat="1" ht="26.25" customHeight="1" x14ac:dyDescent="0.25">
      <c r="A11" s="382"/>
      <c r="B11" s="336" t="s">
        <v>131</v>
      </c>
      <c r="C11" s="420">
        <v>43940212</v>
      </c>
      <c r="D11" s="351">
        <v>2025</v>
      </c>
      <c r="E11" s="339">
        <v>21000</v>
      </c>
      <c r="F11" s="46" t="s">
        <v>23</v>
      </c>
      <c r="G11" s="192">
        <v>0.18</v>
      </c>
      <c r="H11" s="47">
        <f>$E$11*G11</f>
        <v>3780</v>
      </c>
      <c r="I11" s="48">
        <v>100</v>
      </c>
      <c r="J11" s="49">
        <v>7.9</v>
      </c>
      <c r="K11" s="50">
        <f>H11*I11*J11*12</f>
        <v>35834400</v>
      </c>
      <c r="L11" s="169">
        <v>280</v>
      </c>
      <c r="M11" s="39">
        <v>15.25</v>
      </c>
      <c r="N11" s="40">
        <f>H11*L11*M11</f>
        <v>16140600</v>
      </c>
      <c r="O11" s="342">
        <f>K14+N14</f>
        <v>108344880</v>
      </c>
      <c r="P11" s="170" t="s">
        <v>24</v>
      </c>
      <c r="Q11" s="50">
        <f>K14-Q12</f>
        <v>62914320</v>
      </c>
      <c r="R11" s="41">
        <f>Q3-Q11</f>
        <v>-6603638.3999999985</v>
      </c>
    </row>
    <row r="12" spans="1:22" s="5" customFormat="1" ht="26.25" customHeight="1" x14ac:dyDescent="0.25">
      <c r="A12" s="382"/>
      <c r="B12" s="337"/>
      <c r="C12" s="421"/>
      <c r="D12" s="352"/>
      <c r="E12" s="340"/>
      <c r="F12" s="28" t="s">
        <v>25</v>
      </c>
      <c r="G12" s="194">
        <v>0.37</v>
      </c>
      <c r="H12" s="24">
        <f t="shared" ref="H12:H13" si="3">$E$11*G12</f>
        <v>7770</v>
      </c>
      <c r="I12" s="13">
        <v>30</v>
      </c>
      <c r="J12" s="21">
        <v>6</v>
      </c>
      <c r="K12" s="17">
        <f>H12*I12*J12*12</f>
        <v>16783200</v>
      </c>
      <c r="L12" s="14">
        <v>156</v>
      </c>
      <c r="M12" s="22">
        <v>15.25</v>
      </c>
      <c r="N12" s="18">
        <f t="shared" ref="N12:N13" si="4">H12*L12*M12</f>
        <v>18484830</v>
      </c>
      <c r="O12" s="343"/>
      <c r="P12" s="180" t="s">
        <v>130</v>
      </c>
      <c r="Q12" s="161">
        <f>K14*0.05</f>
        <v>3311280</v>
      </c>
      <c r="R12" s="42"/>
    </row>
    <row r="13" spans="1:22" s="5" customFormat="1" ht="26.25" customHeight="1" x14ac:dyDescent="0.25">
      <c r="A13" s="382"/>
      <c r="B13" s="337"/>
      <c r="C13" s="421"/>
      <c r="D13" s="352"/>
      <c r="E13" s="340"/>
      <c r="F13" s="28" t="s">
        <v>28</v>
      </c>
      <c r="G13" s="182">
        <v>0.45</v>
      </c>
      <c r="H13" s="24">
        <f t="shared" si="3"/>
        <v>9450</v>
      </c>
      <c r="I13" s="13">
        <v>20</v>
      </c>
      <c r="J13" s="21">
        <v>6</v>
      </c>
      <c r="K13" s="17">
        <f>H13*I13*J13*12</f>
        <v>13608000</v>
      </c>
      <c r="L13" s="14">
        <v>52</v>
      </c>
      <c r="M13" s="22">
        <v>15.25</v>
      </c>
      <c r="N13" s="18">
        <f t="shared" si="4"/>
        <v>7493850</v>
      </c>
      <c r="O13" s="343"/>
      <c r="P13" s="189" t="s">
        <v>29</v>
      </c>
      <c r="Q13" s="18">
        <f>N14</f>
        <v>42119280</v>
      </c>
      <c r="R13" s="43">
        <f>Q5-Q13</f>
        <v>-4664304</v>
      </c>
    </row>
    <row r="14" spans="1:22" s="5" customFormat="1" ht="26.25" customHeight="1" x14ac:dyDescent="0.25">
      <c r="A14" s="382"/>
      <c r="B14" s="338"/>
      <c r="C14" s="422"/>
      <c r="D14" s="353"/>
      <c r="E14" s="341"/>
      <c r="F14" s="396" t="s">
        <v>30</v>
      </c>
      <c r="G14" s="396"/>
      <c r="H14" s="396"/>
      <c r="I14" s="396"/>
      <c r="J14" s="397"/>
      <c r="K14" s="19">
        <f>SUM(K11:K13)</f>
        <v>66225600</v>
      </c>
      <c r="L14" s="365" t="s">
        <v>30</v>
      </c>
      <c r="M14" s="366"/>
      <c r="N14" s="20">
        <f>SUM(N11:N13)</f>
        <v>42119280</v>
      </c>
      <c r="O14" s="344"/>
      <c r="P14" s="403"/>
      <c r="Q14" s="404"/>
      <c r="R14" s="405"/>
    </row>
    <row r="15" spans="1:22" s="5" customFormat="1" ht="26.25" customHeight="1" x14ac:dyDescent="0.25">
      <c r="A15" s="382"/>
      <c r="B15" s="409"/>
      <c r="C15" s="410"/>
      <c r="D15" s="351">
        <v>2026</v>
      </c>
      <c r="E15" s="339">
        <v>22000</v>
      </c>
      <c r="F15" s="46" t="s">
        <v>23</v>
      </c>
      <c r="G15" s="192">
        <v>0.18</v>
      </c>
      <c r="H15" s="47">
        <f>$E$15*G15</f>
        <v>3960</v>
      </c>
      <c r="I15" s="48">
        <v>100</v>
      </c>
      <c r="J15" s="49">
        <v>7.9</v>
      </c>
      <c r="K15" s="50">
        <f>H15*I15*J15*12</f>
        <v>37540800</v>
      </c>
      <c r="L15" s="169">
        <v>300</v>
      </c>
      <c r="M15" s="39">
        <v>15.25</v>
      </c>
      <c r="N15" s="40">
        <f>H15*L15*M15</f>
        <v>18117000</v>
      </c>
      <c r="O15" s="342">
        <f>K18+N18</f>
        <v>116449850</v>
      </c>
      <c r="P15" s="170" t="s">
        <v>24</v>
      </c>
      <c r="Q15" s="50">
        <f>K18-Q16</f>
        <v>65910240</v>
      </c>
      <c r="R15" s="41">
        <f>Q3-Q15</f>
        <v>-9599558.3999999985</v>
      </c>
    </row>
    <row r="16" spans="1:22" s="5" customFormat="1" ht="26.25" customHeight="1" x14ac:dyDescent="0.25">
      <c r="A16" s="382"/>
      <c r="B16" s="411"/>
      <c r="C16" s="412"/>
      <c r="D16" s="352"/>
      <c r="E16" s="340"/>
      <c r="F16" s="28" t="s">
        <v>25</v>
      </c>
      <c r="G16" s="194">
        <v>0.37</v>
      </c>
      <c r="H16" s="24">
        <f t="shared" ref="H16:H17" si="5">$E$15*G16</f>
        <v>8140</v>
      </c>
      <c r="I16" s="13">
        <v>30</v>
      </c>
      <c r="J16" s="21">
        <v>6</v>
      </c>
      <c r="K16" s="17">
        <f>H16*I16*J16*12</f>
        <v>17582400</v>
      </c>
      <c r="L16" s="14">
        <v>170</v>
      </c>
      <c r="M16" s="22">
        <v>15.25</v>
      </c>
      <c r="N16" s="18">
        <f t="shared" ref="N16:N17" si="6">H16*L16*M16</f>
        <v>21102950</v>
      </c>
      <c r="O16" s="343"/>
      <c r="P16" s="180" t="s">
        <v>130</v>
      </c>
      <c r="Q16" s="161">
        <f>K18*0.05</f>
        <v>3468960</v>
      </c>
      <c r="R16" s="42"/>
    </row>
    <row r="17" spans="1:22" s="5" customFormat="1" ht="26.25" customHeight="1" x14ac:dyDescent="0.25">
      <c r="A17" s="382"/>
      <c r="B17" s="411"/>
      <c r="C17" s="412"/>
      <c r="D17" s="352"/>
      <c r="E17" s="340"/>
      <c r="F17" s="28" t="s">
        <v>28</v>
      </c>
      <c r="G17" s="182">
        <v>0.45</v>
      </c>
      <c r="H17" s="24">
        <f t="shared" si="5"/>
        <v>9900</v>
      </c>
      <c r="I17" s="13">
        <v>20</v>
      </c>
      <c r="J17" s="21">
        <v>6</v>
      </c>
      <c r="K17" s="17">
        <f>H17*I17*J17*12</f>
        <v>14256000</v>
      </c>
      <c r="L17" s="14">
        <v>52</v>
      </c>
      <c r="M17" s="22">
        <v>15.25</v>
      </c>
      <c r="N17" s="18">
        <f t="shared" si="6"/>
        <v>7850700</v>
      </c>
      <c r="O17" s="343"/>
      <c r="P17" s="189" t="s">
        <v>29</v>
      </c>
      <c r="Q17" s="18">
        <f>N18</f>
        <v>47070650</v>
      </c>
      <c r="R17" s="43">
        <f>Q5-Q17</f>
        <v>-9615674</v>
      </c>
    </row>
    <row r="18" spans="1:22" s="5" customFormat="1" ht="26.25" customHeight="1" x14ac:dyDescent="0.25">
      <c r="A18" s="382"/>
      <c r="B18" s="413"/>
      <c r="C18" s="414"/>
      <c r="D18" s="353"/>
      <c r="E18" s="341"/>
      <c r="F18" s="396" t="s">
        <v>30</v>
      </c>
      <c r="G18" s="396"/>
      <c r="H18" s="396"/>
      <c r="I18" s="396"/>
      <c r="J18" s="397"/>
      <c r="K18" s="19">
        <f>SUM(K15:K17)</f>
        <v>69379200</v>
      </c>
      <c r="L18" s="365" t="s">
        <v>30</v>
      </c>
      <c r="M18" s="366"/>
      <c r="N18" s="20">
        <f>SUM(N15:N17)</f>
        <v>47070650</v>
      </c>
      <c r="O18" s="344"/>
      <c r="P18" s="406"/>
      <c r="Q18" s="407"/>
      <c r="R18" s="408"/>
    </row>
    <row r="19" spans="1:22" s="5" customFormat="1" ht="26.25" customHeight="1" x14ac:dyDescent="0.25">
      <c r="A19" s="382"/>
      <c r="B19" s="415"/>
      <c r="C19" s="416"/>
      <c r="D19" s="387" t="s">
        <v>31</v>
      </c>
      <c r="E19" s="390">
        <f>E15+6357</f>
        <v>28357</v>
      </c>
      <c r="F19" s="51" t="s">
        <v>23</v>
      </c>
      <c r="G19" s="192">
        <v>0.18</v>
      </c>
      <c r="H19" s="52">
        <f>$E$19*G19</f>
        <v>5104.26</v>
      </c>
      <c r="I19" s="53">
        <v>100</v>
      </c>
      <c r="J19" s="49">
        <v>7.9</v>
      </c>
      <c r="K19" s="50">
        <f>H19*I19*J19*12</f>
        <v>48388384.800000004</v>
      </c>
      <c r="L19" s="169">
        <v>350</v>
      </c>
      <c r="M19" s="39">
        <v>15.25</v>
      </c>
      <c r="N19" s="40">
        <f>H19*L19*M19</f>
        <v>27243987.75</v>
      </c>
      <c r="O19" s="342">
        <f>K22+N22</f>
        <v>158790692.90000001</v>
      </c>
      <c r="P19" s="170" t="s">
        <v>24</v>
      </c>
      <c r="Q19" s="50">
        <f>K22-Q20</f>
        <v>84955303.439999998</v>
      </c>
      <c r="R19" s="41">
        <f>Q3-Q19</f>
        <v>-28644621.839999996</v>
      </c>
    </row>
    <row r="20" spans="1:22" s="5" customFormat="1" ht="26.25" customHeight="1" x14ac:dyDescent="0.25">
      <c r="A20" s="382"/>
      <c r="B20" s="411"/>
      <c r="C20" s="417"/>
      <c r="D20" s="388"/>
      <c r="E20" s="391"/>
      <c r="F20" s="10" t="s">
        <v>25</v>
      </c>
      <c r="G20" s="194">
        <v>0.37</v>
      </c>
      <c r="H20" s="15">
        <f t="shared" ref="H20:H21" si="7">$E$19*G20</f>
        <v>10492.09</v>
      </c>
      <c r="I20" s="25">
        <v>30</v>
      </c>
      <c r="J20" s="21">
        <v>6</v>
      </c>
      <c r="K20" s="17">
        <f>H20*I20*J20*12</f>
        <v>22662914.400000002</v>
      </c>
      <c r="L20" s="14">
        <v>200</v>
      </c>
      <c r="M20" s="22">
        <v>15.25</v>
      </c>
      <c r="N20" s="18">
        <f t="shared" ref="N20:N21" si="8">H20*L20*M20</f>
        <v>32000874.5</v>
      </c>
      <c r="O20" s="343"/>
      <c r="P20" s="180" t="s">
        <v>130</v>
      </c>
      <c r="Q20" s="161">
        <f>K22*0.05</f>
        <v>4471331.7600000007</v>
      </c>
      <c r="R20" s="42"/>
    </row>
    <row r="21" spans="1:22" s="5" customFormat="1" ht="26.25" customHeight="1" x14ac:dyDescent="0.25">
      <c r="A21" s="382"/>
      <c r="B21" s="411"/>
      <c r="C21" s="417"/>
      <c r="D21" s="388"/>
      <c r="E21" s="391"/>
      <c r="F21" s="10" t="s">
        <v>28</v>
      </c>
      <c r="G21" s="182">
        <v>0.45</v>
      </c>
      <c r="H21" s="15">
        <f t="shared" si="7"/>
        <v>12760.65</v>
      </c>
      <c r="I21" s="25">
        <v>20</v>
      </c>
      <c r="J21" s="21">
        <v>6</v>
      </c>
      <c r="K21" s="17">
        <f>H21*I21*J21*12</f>
        <v>18375336</v>
      </c>
      <c r="L21" s="14">
        <v>52</v>
      </c>
      <c r="M21" s="22">
        <v>15.25</v>
      </c>
      <c r="N21" s="18">
        <f t="shared" si="8"/>
        <v>10119195.449999999</v>
      </c>
      <c r="O21" s="343"/>
      <c r="P21" s="189" t="s">
        <v>29</v>
      </c>
      <c r="Q21" s="18">
        <f>N22</f>
        <v>69364057.700000003</v>
      </c>
      <c r="R21" s="43">
        <f>Q5-Q21</f>
        <v>-31909081.700000003</v>
      </c>
    </row>
    <row r="22" spans="1:22" s="5" customFormat="1" ht="26.25" customHeight="1" x14ac:dyDescent="0.25">
      <c r="A22" s="382"/>
      <c r="B22" s="418"/>
      <c r="C22" s="419"/>
      <c r="D22" s="389"/>
      <c r="E22" s="392"/>
      <c r="F22" s="450" t="s">
        <v>30</v>
      </c>
      <c r="G22" s="451"/>
      <c r="H22" s="451"/>
      <c r="I22" s="451"/>
      <c r="J22" s="452"/>
      <c r="K22" s="44">
        <f>SUM(K19:K21)</f>
        <v>89426635.200000003</v>
      </c>
      <c r="L22" s="446" t="s">
        <v>30</v>
      </c>
      <c r="M22" s="447"/>
      <c r="N22" s="45">
        <f>SUM(N19:N21)</f>
        <v>69364057.700000003</v>
      </c>
      <c r="O22" s="423"/>
      <c r="P22" s="453"/>
      <c r="Q22" s="454"/>
      <c r="R22" s="455"/>
      <c r="S22" s="9"/>
    </row>
    <row r="23" spans="1:22" s="5" customFormat="1" ht="11.25" customHeight="1" x14ac:dyDescent="0.25">
      <c r="A23" s="448"/>
      <c r="B23" s="449"/>
      <c r="C23" s="449"/>
      <c r="D23" s="449"/>
      <c r="E23" s="449"/>
      <c r="F23" s="449"/>
      <c r="G23" s="449"/>
      <c r="H23" s="449"/>
      <c r="I23" s="449"/>
      <c r="J23" s="449"/>
      <c r="K23" s="449"/>
      <c r="L23" s="449"/>
      <c r="M23" s="449"/>
      <c r="N23" s="449"/>
      <c r="O23" s="449"/>
      <c r="P23" s="449"/>
      <c r="Q23" s="449"/>
      <c r="R23" s="449"/>
      <c r="S23" s="9"/>
    </row>
    <row r="24" spans="1:22" s="5" customFormat="1" ht="90.75" customHeight="1" x14ac:dyDescent="0.25">
      <c r="A24" s="398" t="s">
        <v>32</v>
      </c>
      <c r="B24" s="462" t="s">
        <v>2</v>
      </c>
      <c r="C24" s="462"/>
      <c r="D24" s="33" t="s">
        <v>3</v>
      </c>
      <c r="E24" s="60" t="s">
        <v>8</v>
      </c>
      <c r="F24" s="60" t="s">
        <v>9</v>
      </c>
      <c r="G24" s="60" t="s">
        <v>10</v>
      </c>
      <c r="H24" s="60" t="s">
        <v>11</v>
      </c>
      <c r="I24" s="61" t="s">
        <v>12</v>
      </c>
      <c r="J24" s="61" t="s">
        <v>13</v>
      </c>
      <c r="K24" s="61" t="s">
        <v>14</v>
      </c>
      <c r="L24" s="61" t="s">
        <v>15</v>
      </c>
      <c r="M24" s="61" t="s">
        <v>16</v>
      </c>
      <c r="N24" s="60" t="s">
        <v>14</v>
      </c>
      <c r="O24" s="60" t="s">
        <v>17</v>
      </c>
      <c r="P24" s="61" t="s">
        <v>18</v>
      </c>
      <c r="Q24" s="61" t="s">
        <v>19</v>
      </c>
      <c r="R24" s="61" t="s">
        <v>20</v>
      </c>
      <c r="S24" s="9"/>
    </row>
    <row r="25" spans="1:22" s="5" customFormat="1" ht="27" customHeight="1" x14ac:dyDescent="0.25">
      <c r="A25" s="399"/>
      <c r="B25" s="373" t="s">
        <v>33</v>
      </c>
      <c r="C25" s="384" t="s">
        <v>33</v>
      </c>
      <c r="D25" s="351">
        <v>2023</v>
      </c>
      <c r="E25" s="339">
        <v>2850</v>
      </c>
      <c r="F25" s="62" t="s">
        <v>23</v>
      </c>
      <c r="G25" s="70">
        <v>0.5</v>
      </c>
      <c r="H25" s="69">
        <f>E25*G25</f>
        <v>1425</v>
      </c>
      <c r="I25" s="71">
        <v>200</v>
      </c>
      <c r="J25" s="86">
        <v>5.7</v>
      </c>
      <c r="K25" s="83">
        <f>H25*I25*J25*12</f>
        <v>19494000</v>
      </c>
      <c r="L25" s="73"/>
      <c r="M25" s="73"/>
      <c r="N25" s="74"/>
      <c r="O25" s="438">
        <f>K27</f>
        <v>36252000</v>
      </c>
      <c r="P25" s="170" t="s">
        <v>24</v>
      </c>
      <c r="Q25" s="83">
        <f>K27-Q26</f>
        <v>31539240</v>
      </c>
      <c r="R25" s="102"/>
      <c r="S25" s="9"/>
    </row>
    <row r="26" spans="1:22" s="5" customFormat="1" ht="27" customHeight="1" x14ac:dyDescent="0.25">
      <c r="A26" s="399"/>
      <c r="B26" s="337"/>
      <c r="C26" s="385"/>
      <c r="D26" s="352"/>
      <c r="E26" s="340"/>
      <c r="F26" s="32" t="s">
        <v>25</v>
      </c>
      <c r="G26" s="76">
        <v>0.5</v>
      </c>
      <c r="H26" s="75">
        <f>E25*G26</f>
        <v>1425</v>
      </c>
      <c r="I26" s="77">
        <v>200</v>
      </c>
      <c r="J26" s="87">
        <v>4.9000000000000004</v>
      </c>
      <c r="K26" s="84">
        <f>H26*I26*J26*12</f>
        <v>16758000</v>
      </c>
      <c r="L26" s="79"/>
      <c r="M26" s="79"/>
      <c r="N26" s="80"/>
      <c r="O26" s="439"/>
      <c r="P26" s="180" t="s">
        <v>34</v>
      </c>
      <c r="Q26" s="152">
        <f>K27*0.13</f>
        <v>4712760</v>
      </c>
      <c r="R26" s="103"/>
      <c r="S26" s="9"/>
    </row>
    <row r="27" spans="1:22" s="5" customFormat="1" ht="27" customHeight="1" x14ac:dyDescent="0.25">
      <c r="A27" s="399"/>
      <c r="B27" s="463"/>
      <c r="C27" s="386"/>
      <c r="D27" s="353"/>
      <c r="E27" s="341"/>
      <c r="F27" s="441" t="s">
        <v>30</v>
      </c>
      <c r="G27" s="441"/>
      <c r="H27" s="441"/>
      <c r="I27" s="441"/>
      <c r="J27" s="441"/>
      <c r="K27" s="85">
        <f>K25+K26</f>
        <v>36252000</v>
      </c>
      <c r="L27" s="81"/>
      <c r="M27" s="81"/>
      <c r="N27" s="82"/>
      <c r="O27" s="440"/>
      <c r="P27" s="189" t="s">
        <v>29</v>
      </c>
      <c r="Q27" s="104">
        <v>0</v>
      </c>
      <c r="R27" s="105">
        <v>0</v>
      </c>
      <c r="S27" s="9"/>
    </row>
    <row r="28" spans="1:22" s="5" customFormat="1" ht="27" customHeight="1" x14ac:dyDescent="0.25">
      <c r="A28" s="399"/>
      <c r="B28" s="430" t="s">
        <v>35</v>
      </c>
      <c r="C28" s="91">
        <v>36000</v>
      </c>
      <c r="D28" s="377">
        <v>2024</v>
      </c>
      <c r="E28" s="379">
        <v>2850</v>
      </c>
      <c r="F28" s="62" t="s">
        <v>23</v>
      </c>
      <c r="G28" s="70">
        <v>0.5</v>
      </c>
      <c r="H28" s="92">
        <f>E28*G28</f>
        <v>1425</v>
      </c>
      <c r="I28" s="71">
        <v>200</v>
      </c>
      <c r="J28" s="86">
        <v>5.7</v>
      </c>
      <c r="K28" s="93">
        <f>H28*I28*J28*12</f>
        <v>19494000</v>
      </c>
      <c r="L28" s="94"/>
      <c r="M28" s="94"/>
      <c r="N28" s="63"/>
      <c r="O28" s="393">
        <f>K30</f>
        <v>36252000</v>
      </c>
      <c r="P28" s="170" t="s">
        <v>24</v>
      </c>
      <c r="Q28" s="83">
        <f>K30-Q29</f>
        <v>32989320</v>
      </c>
      <c r="R28" s="102">
        <f>Q25-Q28</f>
        <v>-1450080</v>
      </c>
      <c r="S28" s="9"/>
      <c r="V28" s="155"/>
    </row>
    <row r="29" spans="1:22" s="5" customFormat="1" ht="27" customHeight="1" x14ac:dyDescent="0.25">
      <c r="A29" s="399"/>
      <c r="B29" s="431"/>
      <c r="C29" s="432">
        <v>54726050</v>
      </c>
      <c r="D29" s="378"/>
      <c r="E29" s="380"/>
      <c r="F29" s="32" t="s">
        <v>25</v>
      </c>
      <c r="G29" s="76">
        <v>0.5</v>
      </c>
      <c r="H29" s="89">
        <f>G29*E28</f>
        <v>1425</v>
      </c>
      <c r="I29" s="77">
        <v>200</v>
      </c>
      <c r="J29" s="87">
        <v>4.9000000000000004</v>
      </c>
      <c r="K29" s="90">
        <f>H29*I29*J29*12</f>
        <v>16758000</v>
      </c>
      <c r="L29" s="31"/>
      <c r="M29" s="31"/>
      <c r="N29" s="30"/>
      <c r="O29" s="394"/>
      <c r="P29" s="180" t="s">
        <v>36</v>
      </c>
      <c r="Q29" s="106">
        <f>K30*0.09</f>
        <v>3262680</v>
      </c>
      <c r="R29" s="103"/>
      <c r="S29" s="156"/>
      <c r="V29" s="155"/>
    </row>
    <row r="30" spans="1:22" s="5" customFormat="1" ht="27" customHeight="1" x14ac:dyDescent="0.25">
      <c r="A30" s="399"/>
      <c r="B30" s="431"/>
      <c r="C30" s="433"/>
      <c r="D30" s="378"/>
      <c r="E30" s="381"/>
      <c r="F30" s="434" t="s">
        <v>30</v>
      </c>
      <c r="G30" s="434"/>
      <c r="H30" s="434"/>
      <c r="I30" s="434"/>
      <c r="J30" s="434"/>
      <c r="K30" s="85">
        <f>K28+K29</f>
        <v>36252000</v>
      </c>
      <c r="L30" s="68"/>
      <c r="M30" s="68"/>
      <c r="N30" s="67"/>
      <c r="O30" s="395"/>
      <c r="P30" s="189" t="s">
        <v>29</v>
      </c>
      <c r="Q30" s="104">
        <v>0</v>
      </c>
      <c r="R30" s="105">
        <v>0</v>
      </c>
      <c r="S30" s="9"/>
    </row>
    <row r="31" spans="1:22" s="5" customFormat="1" ht="27" customHeight="1" x14ac:dyDescent="0.25">
      <c r="A31" s="399"/>
      <c r="B31" s="426"/>
      <c r="C31" s="427"/>
      <c r="D31" s="377">
        <v>2025</v>
      </c>
      <c r="E31" s="444">
        <v>2950</v>
      </c>
      <c r="F31" s="62" t="s">
        <v>23</v>
      </c>
      <c r="G31" s="70">
        <v>0.5</v>
      </c>
      <c r="H31" s="92">
        <f>E31*G31</f>
        <v>1475</v>
      </c>
      <c r="I31" s="72">
        <v>200</v>
      </c>
      <c r="J31" s="86">
        <v>5.7</v>
      </c>
      <c r="K31" s="83">
        <f>H31*I31*J31*12</f>
        <v>20178000</v>
      </c>
      <c r="L31" s="94"/>
      <c r="M31" s="94"/>
      <c r="N31" s="63"/>
      <c r="O31" s="393">
        <f>K33</f>
        <v>37524000</v>
      </c>
      <c r="P31" s="170" t="s">
        <v>24</v>
      </c>
      <c r="Q31" s="83">
        <f>K33-Q32</f>
        <v>34146840</v>
      </c>
      <c r="R31" s="102">
        <f>Q25-Q31</f>
        <v>-2607600</v>
      </c>
      <c r="S31" s="9"/>
    </row>
    <row r="32" spans="1:22" s="5" customFormat="1" ht="27" customHeight="1" x14ac:dyDescent="0.25">
      <c r="A32" s="399"/>
      <c r="B32" s="424"/>
      <c r="C32" s="425"/>
      <c r="D32" s="442"/>
      <c r="E32" s="381"/>
      <c r="F32" s="32" t="s">
        <v>25</v>
      </c>
      <c r="G32" s="76">
        <v>0.5</v>
      </c>
      <c r="H32" s="89">
        <f>G32*E31</f>
        <v>1475</v>
      </c>
      <c r="I32" s="78">
        <v>200</v>
      </c>
      <c r="J32" s="87">
        <v>4.9000000000000004</v>
      </c>
      <c r="K32" s="84">
        <f>H32*I32*J32*12</f>
        <v>17346000</v>
      </c>
      <c r="L32" s="31"/>
      <c r="M32" s="31"/>
      <c r="N32" s="30"/>
      <c r="O32" s="394"/>
      <c r="P32" s="180" t="s">
        <v>36</v>
      </c>
      <c r="Q32" s="106">
        <f>K33*0.09</f>
        <v>3377160</v>
      </c>
      <c r="R32" s="103"/>
      <c r="S32" s="9"/>
    </row>
    <row r="33" spans="1:23" s="5" customFormat="1" ht="27" customHeight="1" x14ac:dyDescent="0.25">
      <c r="A33" s="399"/>
      <c r="B33" s="428"/>
      <c r="C33" s="429"/>
      <c r="D33" s="443"/>
      <c r="E33" s="445"/>
      <c r="F33" s="435" t="s">
        <v>30</v>
      </c>
      <c r="G33" s="435"/>
      <c r="H33" s="435"/>
      <c r="I33" s="435"/>
      <c r="J33" s="435"/>
      <c r="K33" s="88">
        <f>K31+K32</f>
        <v>37524000</v>
      </c>
      <c r="L33" s="66"/>
      <c r="M33" s="66"/>
      <c r="N33" s="64"/>
      <c r="O33" s="436"/>
      <c r="P33" s="189" t="s">
        <v>29</v>
      </c>
      <c r="Q33" s="107">
        <f>N37</f>
        <v>0</v>
      </c>
      <c r="R33" s="108">
        <f>Q33-Q30</f>
        <v>0</v>
      </c>
      <c r="S33" s="9"/>
    </row>
    <row r="34" spans="1:23" s="5" customFormat="1" ht="27" customHeight="1" x14ac:dyDescent="0.25">
      <c r="A34" s="399"/>
      <c r="B34" s="424"/>
      <c r="C34" s="425"/>
      <c r="D34" s="442">
        <v>2026</v>
      </c>
      <c r="E34" s="381">
        <v>3200</v>
      </c>
      <c r="F34" s="95" t="s">
        <v>23</v>
      </c>
      <c r="G34" s="96">
        <v>0.5</v>
      </c>
      <c r="H34" s="97">
        <f>G34*E34</f>
        <v>1600</v>
      </c>
      <c r="I34" s="98">
        <v>200</v>
      </c>
      <c r="J34" s="99">
        <v>5.7</v>
      </c>
      <c r="K34" s="100">
        <f>H34*I34*J34*12</f>
        <v>21888000</v>
      </c>
      <c r="L34" s="101"/>
      <c r="M34" s="101"/>
      <c r="N34" s="65"/>
      <c r="O34" s="437">
        <f>K36</f>
        <v>40704000</v>
      </c>
      <c r="P34" s="170" t="s">
        <v>24</v>
      </c>
      <c r="Q34" s="100">
        <f>K36-Q35</f>
        <v>37040640</v>
      </c>
      <c r="R34" s="109">
        <f>Q25-Q34</f>
        <v>-5501400</v>
      </c>
      <c r="S34" s="9"/>
    </row>
    <row r="35" spans="1:23" s="5" customFormat="1" ht="27" customHeight="1" x14ac:dyDescent="0.25">
      <c r="A35" s="399"/>
      <c r="B35" s="424"/>
      <c r="C35" s="425"/>
      <c r="D35" s="442"/>
      <c r="E35" s="381"/>
      <c r="F35" s="32" t="s">
        <v>25</v>
      </c>
      <c r="G35" s="76">
        <v>0.5</v>
      </c>
      <c r="H35" s="89">
        <f>G35*E34</f>
        <v>1600</v>
      </c>
      <c r="I35" s="78">
        <v>200</v>
      </c>
      <c r="J35" s="87">
        <v>4.9000000000000004</v>
      </c>
      <c r="K35" s="84">
        <f>H35*I35*J35*12</f>
        <v>18816000</v>
      </c>
      <c r="L35" s="31"/>
      <c r="M35" s="31"/>
      <c r="N35" s="30"/>
      <c r="O35" s="394"/>
      <c r="P35" s="180" t="s">
        <v>36</v>
      </c>
      <c r="Q35" s="106">
        <f>K36*0.09</f>
        <v>3663360</v>
      </c>
      <c r="R35" s="103"/>
      <c r="S35" s="9"/>
    </row>
    <row r="36" spans="1:23" s="5" customFormat="1" ht="27" customHeight="1" x14ac:dyDescent="0.25">
      <c r="A36" s="399"/>
      <c r="B36" s="424"/>
      <c r="C36" s="425"/>
      <c r="D36" s="442"/>
      <c r="E36" s="381"/>
      <c r="F36" s="441" t="s">
        <v>30</v>
      </c>
      <c r="G36" s="441"/>
      <c r="H36" s="441"/>
      <c r="I36" s="441"/>
      <c r="J36" s="441"/>
      <c r="K36" s="85">
        <f>K34+K35</f>
        <v>40704000</v>
      </c>
      <c r="L36" s="68"/>
      <c r="M36" s="68"/>
      <c r="N36" s="67"/>
      <c r="O36" s="395"/>
      <c r="P36" s="195" t="s">
        <v>29</v>
      </c>
      <c r="Q36" s="104">
        <v>0</v>
      </c>
      <c r="R36" s="105">
        <v>0</v>
      </c>
      <c r="S36" s="9"/>
    </row>
    <row r="37" spans="1:23" s="5" customFormat="1" ht="27" customHeight="1" x14ac:dyDescent="0.25">
      <c r="A37" s="399"/>
      <c r="B37" s="426"/>
      <c r="C37" s="427"/>
      <c r="D37" s="377" t="s">
        <v>31</v>
      </c>
      <c r="E37" s="444">
        <v>3270</v>
      </c>
      <c r="F37" s="62" t="s">
        <v>23</v>
      </c>
      <c r="G37" s="70">
        <v>0.5</v>
      </c>
      <c r="H37" s="92">
        <f>E37*G37</f>
        <v>1635</v>
      </c>
      <c r="I37" s="72">
        <v>200</v>
      </c>
      <c r="J37" s="86">
        <v>5.7</v>
      </c>
      <c r="K37" s="83">
        <f>H37*I37*J37*12</f>
        <v>22366800</v>
      </c>
      <c r="L37" s="94"/>
      <c r="M37" s="94"/>
      <c r="N37" s="63"/>
      <c r="O37" s="393">
        <f>K39</f>
        <v>41594400</v>
      </c>
      <c r="P37" s="170" t="s">
        <v>24</v>
      </c>
      <c r="Q37" s="83">
        <f>K39-Q38</f>
        <v>37850904</v>
      </c>
      <c r="R37" s="102">
        <f>Q25-Q37</f>
        <v>-6311664</v>
      </c>
      <c r="S37" s="9"/>
    </row>
    <row r="38" spans="1:23" s="5" customFormat="1" ht="27" customHeight="1" x14ac:dyDescent="0.25">
      <c r="A38" s="399"/>
      <c r="B38" s="424"/>
      <c r="C38" s="425"/>
      <c r="D38" s="442"/>
      <c r="E38" s="381"/>
      <c r="F38" s="32" t="s">
        <v>25</v>
      </c>
      <c r="G38" s="76">
        <v>0.5</v>
      </c>
      <c r="H38" s="89">
        <f>G38*E37</f>
        <v>1635</v>
      </c>
      <c r="I38" s="78">
        <v>200</v>
      </c>
      <c r="J38" s="87">
        <v>4.9000000000000004</v>
      </c>
      <c r="K38" s="84">
        <f>H38*I38*J38*12</f>
        <v>19227600</v>
      </c>
      <c r="L38" s="31"/>
      <c r="M38" s="31"/>
      <c r="N38" s="30"/>
      <c r="O38" s="394"/>
      <c r="P38" s="180" t="s">
        <v>36</v>
      </c>
      <c r="Q38" s="106">
        <f>K39*0.09</f>
        <v>3743496</v>
      </c>
      <c r="R38" s="103"/>
      <c r="S38" s="9"/>
    </row>
    <row r="39" spans="1:23" s="5" customFormat="1" ht="27" customHeight="1" x14ac:dyDescent="0.25">
      <c r="A39" s="400"/>
      <c r="B39" s="428"/>
      <c r="C39" s="429"/>
      <c r="D39" s="443"/>
      <c r="E39" s="445"/>
      <c r="F39" s="435" t="s">
        <v>30</v>
      </c>
      <c r="G39" s="435"/>
      <c r="H39" s="435"/>
      <c r="I39" s="435"/>
      <c r="J39" s="435"/>
      <c r="K39" s="88">
        <f>K37+K38</f>
        <v>41594400</v>
      </c>
      <c r="L39" s="66"/>
      <c r="M39" s="66"/>
      <c r="N39" s="64"/>
      <c r="O39" s="436"/>
      <c r="P39" s="196" t="s">
        <v>29</v>
      </c>
      <c r="Q39" s="107">
        <v>0</v>
      </c>
      <c r="R39" s="108">
        <f>Q39-Q36</f>
        <v>0</v>
      </c>
    </row>
    <row r="40" spans="1:23" s="5" customFormat="1" ht="11.25" customHeight="1" x14ac:dyDescent="0.25">
      <c r="A40" s="448"/>
      <c r="B40" s="449"/>
      <c r="C40" s="449"/>
      <c r="D40" s="449"/>
      <c r="E40" s="449"/>
      <c r="F40" s="449"/>
      <c r="G40" s="449"/>
      <c r="H40" s="449"/>
      <c r="I40" s="449"/>
      <c r="J40" s="449"/>
      <c r="K40" s="449"/>
      <c r="L40" s="449"/>
      <c r="M40" s="449"/>
      <c r="N40" s="449"/>
      <c r="O40" s="449"/>
      <c r="P40" s="449"/>
      <c r="Q40" s="449"/>
      <c r="R40" s="449"/>
    </row>
    <row r="41" spans="1:23" s="5" customFormat="1" ht="72" x14ac:dyDescent="0.25">
      <c r="A41" s="382" t="s">
        <v>37</v>
      </c>
      <c r="B41" s="471" t="s">
        <v>38</v>
      </c>
      <c r="C41" s="471"/>
      <c r="D41" s="29" t="s">
        <v>3</v>
      </c>
      <c r="E41" s="110" t="s">
        <v>39</v>
      </c>
      <c r="F41" s="466"/>
      <c r="G41" s="114" t="s">
        <v>40</v>
      </c>
      <c r="H41" s="114" t="s">
        <v>41</v>
      </c>
      <c r="I41" s="114" t="s">
        <v>14</v>
      </c>
      <c r="J41" s="115" t="s">
        <v>42</v>
      </c>
      <c r="K41" s="115" t="s">
        <v>43</v>
      </c>
      <c r="L41" s="115" t="s">
        <v>44</v>
      </c>
      <c r="M41" s="116" t="s">
        <v>158</v>
      </c>
      <c r="N41" s="115" t="s">
        <v>14</v>
      </c>
      <c r="O41" s="117" t="s">
        <v>45</v>
      </c>
      <c r="P41" s="61" t="s">
        <v>18</v>
      </c>
      <c r="Q41" s="61" t="s">
        <v>19</v>
      </c>
      <c r="R41" s="61" t="s">
        <v>20</v>
      </c>
      <c r="S41" s="9"/>
    </row>
    <row r="42" spans="1:23" s="5" customFormat="1" ht="27" customHeight="1" x14ac:dyDescent="0.25">
      <c r="A42" s="382"/>
      <c r="B42" s="475"/>
      <c r="C42" s="475"/>
      <c r="D42" s="352">
        <v>2023</v>
      </c>
      <c r="E42" s="461">
        <v>14134</v>
      </c>
      <c r="F42" s="467"/>
      <c r="G42" s="474">
        <f>E42</f>
        <v>14134</v>
      </c>
      <c r="H42" s="470">
        <v>1300</v>
      </c>
      <c r="I42" s="470">
        <f>G42*H42*12</f>
        <v>220490400</v>
      </c>
      <c r="J42" s="326">
        <v>6165</v>
      </c>
      <c r="K42" s="326">
        <v>27379</v>
      </c>
      <c r="L42" s="326">
        <v>4</v>
      </c>
      <c r="M42" s="327">
        <f>N42/5587</f>
        <v>14992.930016108825</v>
      </c>
      <c r="N42" s="328">
        <v>83765500</v>
      </c>
      <c r="O42" s="323">
        <f>I42</f>
        <v>220490400</v>
      </c>
      <c r="P42" s="112" t="s">
        <v>24</v>
      </c>
      <c r="Q42" s="164">
        <f>I42-Q43</f>
        <v>158753088</v>
      </c>
      <c r="R42" s="17"/>
      <c r="S42" s="9"/>
    </row>
    <row r="43" spans="1:23" s="5" customFormat="1" ht="27" customHeight="1" x14ac:dyDescent="0.25">
      <c r="A43" s="382"/>
      <c r="B43" s="475"/>
      <c r="C43" s="475"/>
      <c r="D43" s="352"/>
      <c r="E43" s="461"/>
      <c r="F43" s="467"/>
      <c r="G43" s="474"/>
      <c r="H43" s="470"/>
      <c r="I43" s="470"/>
      <c r="J43" s="326"/>
      <c r="K43" s="326"/>
      <c r="L43" s="326"/>
      <c r="M43" s="327"/>
      <c r="N43" s="328"/>
      <c r="O43" s="324"/>
      <c r="P43" s="197" t="s">
        <v>132</v>
      </c>
      <c r="Q43" s="162">
        <f>I42*0.28</f>
        <v>61737312.000000007</v>
      </c>
      <c r="R43" s="161"/>
      <c r="S43" s="165"/>
    </row>
    <row r="44" spans="1:23" s="5" customFormat="1" ht="27" customHeight="1" x14ac:dyDescent="0.25">
      <c r="A44" s="382"/>
      <c r="B44" s="475"/>
      <c r="C44" s="475"/>
      <c r="D44" s="352"/>
      <c r="E44" s="461"/>
      <c r="F44" s="467"/>
      <c r="G44" s="474"/>
      <c r="H44" s="470"/>
      <c r="I44" s="470"/>
      <c r="J44" s="326"/>
      <c r="K44" s="326"/>
      <c r="L44" s="326"/>
      <c r="M44" s="327"/>
      <c r="N44" s="328"/>
      <c r="O44" s="325"/>
      <c r="P44" s="113" t="s">
        <v>29</v>
      </c>
      <c r="Q44" s="163">
        <f>N42</f>
        <v>83765500</v>
      </c>
      <c r="R44" s="18"/>
      <c r="S44" s="9"/>
    </row>
    <row r="45" spans="1:23" s="5" customFormat="1" ht="27" customHeight="1" x14ac:dyDescent="0.25">
      <c r="A45" s="382"/>
      <c r="B45" s="473" t="s">
        <v>46</v>
      </c>
      <c r="C45" s="473"/>
      <c r="D45" s="353">
        <v>2024</v>
      </c>
      <c r="E45" s="456">
        <v>16001</v>
      </c>
      <c r="F45" s="467"/>
      <c r="G45" s="469">
        <f>E45</f>
        <v>16001</v>
      </c>
      <c r="H45" s="460">
        <v>1300</v>
      </c>
      <c r="I45" s="460">
        <f>G45*H45*12</f>
        <v>249615600</v>
      </c>
      <c r="J45" s="329">
        <f>J42-1867</f>
        <v>4298</v>
      </c>
      <c r="K45" s="329">
        <f>K42*J45/J42</f>
        <v>19087.581832927819</v>
      </c>
      <c r="L45" s="464">
        <v>3</v>
      </c>
      <c r="M45" s="465">
        <f>M42</f>
        <v>14992.930016108825</v>
      </c>
      <c r="N45" s="328">
        <f>M45*J45</f>
        <v>64439613.209235728</v>
      </c>
      <c r="O45" s="376">
        <f>I45</f>
        <v>249615600</v>
      </c>
      <c r="P45" s="112" t="s">
        <v>24</v>
      </c>
      <c r="Q45" s="164">
        <f>I45-Q46</f>
        <v>187211700</v>
      </c>
      <c r="R45" s="17">
        <f>Q42-Q45</f>
        <v>-28458612</v>
      </c>
      <c r="S45" s="9"/>
      <c r="W45" s="155"/>
    </row>
    <row r="46" spans="1:23" s="5" customFormat="1" ht="27" customHeight="1" x14ac:dyDescent="0.25">
      <c r="A46" s="382"/>
      <c r="B46" s="473"/>
      <c r="C46" s="473"/>
      <c r="D46" s="442"/>
      <c r="E46" s="457"/>
      <c r="F46" s="467"/>
      <c r="G46" s="469"/>
      <c r="H46" s="460"/>
      <c r="I46" s="460"/>
      <c r="J46" s="329"/>
      <c r="K46" s="329"/>
      <c r="L46" s="464"/>
      <c r="M46" s="465"/>
      <c r="N46" s="328"/>
      <c r="O46" s="376"/>
      <c r="P46" s="197" t="s">
        <v>133</v>
      </c>
      <c r="Q46" s="162">
        <f>I45*0.25</f>
        <v>62403900</v>
      </c>
      <c r="R46" s="161"/>
      <c r="S46" s="165"/>
      <c r="W46" s="157"/>
    </row>
    <row r="47" spans="1:23" s="5" customFormat="1" ht="27" customHeight="1" x14ac:dyDescent="0.25">
      <c r="A47" s="382"/>
      <c r="B47" s="473"/>
      <c r="C47" s="473"/>
      <c r="D47" s="459"/>
      <c r="E47" s="458"/>
      <c r="F47" s="467"/>
      <c r="G47" s="469"/>
      <c r="H47" s="460"/>
      <c r="I47" s="460"/>
      <c r="J47" s="329"/>
      <c r="K47" s="329"/>
      <c r="L47" s="464"/>
      <c r="M47" s="465"/>
      <c r="N47" s="328"/>
      <c r="O47" s="376"/>
      <c r="P47" s="113" t="s">
        <v>29</v>
      </c>
      <c r="Q47" s="111">
        <f>N45</f>
        <v>64439613.209235728</v>
      </c>
      <c r="R47" s="166">
        <f>Q44-Q47</f>
        <v>19325886.790764272</v>
      </c>
      <c r="S47" s="9"/>
    </row>
    <row r="48" spans="1:23" s="5" customFormat="1" ht="27" customHeight="1" x14ac:dyDescent="0.25">
      <c r="A48" s="382"/>
      <c r="B48" s="472"/>
      <c r="C48" s="472"/>
      <c r="D48" s="353">
        <v>2025</v>
      </c>
      <c r="E48" s="456">
        <v>16001</v>
      </c>
      <c r="F48" s="467"/>
      <c r="G48" s="469">
        <f>E48</f>
        <v>16001</v>
      </c>
      <c r="H48" s="460">
        <v>1300</v>
      </c>
      <c r="I48" s="460">
        <f>G48*H48*12</f>
        <v>249615600</v>
      </c>
      <c r="J48" s="329">
        <f>J45</f>
        <v>4298</v>
      </c>
      <c r="K48" s="329">
        <f>K45*(12/L48)/(12/L45)</f>
        <v>28631.372749391729</v>
      </c>
      <c r="L48" s="464">
        <v>2</v>
      </c>
      <c r="M48" s="465">
        <f>M45</f>
        <v>14992.930016108825</v>
      </c>
      <c r="N48" s="328">
        <f t="shared" ref="N48" si="9">M48*J48</f>
        <v>64439613.209235728</v>
      </c>
      <c r="O48" s="376">
        <f>I48</f>
        <v>249615600</v>
      </c>
      <c r="P48" s="112" t="s">
        <v>24</v>
      </c>
      <c r="Q48" s="84">
        <f>I48-Q49</f>
        <v>187211700</v>
      </c>
      <c r="R48" s="84">
        <f>Q42-Q48</f>
        <v>-28458612</v>
      </c>
      <c r="S48" s="9"/>
    </row>
    <row r="49" spans="1:26" s="5" customFormat="1" ht="27" customHeight="1" x14ac:dyDescent="0.25">
      <c r="A49" s="382"/>
      <c r="B49" s="472"/>
      <c r="C49" s="472"/>
      <c r="D49" s="442"/>
      <c r="E49" s="457"/>
      <c r="F49" s="467"/>
      <c r="G49" s="469"/>
      <c r="H49" s="460"/>
      <c r="I49" s="460"/>
      <c r="J49" s="329"/>
      <c r="K49" s="329"/>
      <c r="L49" s="464"/>
      <c r="M49" s="465"/>
      <c r="N49" s="328"/>
      <c r="O49" s="376"/>
      <c r="P49" s="197" t="s">
        <v>133</v>
      </c>
      <c r="Q49" s="106">
        <f>I48*0.25</f>
        <v>62403900</v>
      </c>
      <c r="R49" s="106"/>
    </row>
    <row r="50" spans="1:26" s="5" customFormat="1" ht="27" customHeight="1" x14ac:dyDescent="0.25">
      <c r="A50" s="382"/>
      <c r="B50" s="472"/>
      <c r="C50" s="472"/>
      <c r="D50" s="459"/>
      <c r="E50" s="458"/>
      <c r="F50" s="467"/>
      <c r="G50" s="469"/>
      <c r="H50" s="460"/>
      <c r="I50" s="460"/>
      <c r="J50" s="329"/>
      <c r="K50" s="329"/>
      <c r="L50" s="464"/>
      <c r="M50" s="465"/>
      <c r="N50" s="328"/>
      <c r="O50" s="376"/>
      <c r="P50" s="113" t="s">
        <v>29</v>
      </c>
      <c r="Q50" s="111">
        <f>N48</f>
        <v>64439613.209235728</v>
      </c>
      <c r="R50" s="111">
        <f>Q44-Q50</f>
        <v>19325886.790764272</v>
      </c>
      <c r="S50" s="9"/>
    </row>
    <row r="51" spans="1:26" s="5" customFormat="1" ht="27" customHeight="1" x14ac:dyDescent="0.25">
      <c r="A51" s="382"/>
      <c r="B51" s="473" t="s">
        <v>47</v>
      </c>
      <c r="C51" s="473"/>
      <c r="D51" s="353">
        <v>2026</v>
      </c>
      <c r="E51" s="456">
        <v>16201</v>
      </c>
      <c r="F51" s="467"/>
      <c r="G51" s="469">
        <f>E51</f>
        <v>16201</v>
      </c>
      <c r="H51" s="460">
        <v>1300</v>
      </c>
      <c r="I51" s="460">
        <f>G51*H51*12</f>
        <v>252735600</v>
      </c>
      <c r="J51" s="329">
        <f t="shared" ref="J51" si="10">J48</f>
        <v>4298</v>
      </c>
      <c r="K51" s="329">
        <f>K48*(12/L51)/(12/L48)</f>
        <v>57262.745498783457</v>
      </c>
      <c r="L51" s="464">
        <v>1</v>
      </c>
      <c r="M51" s="465">
        <f>M48</f>
        <v>14992.930016108825</v>
      </c>
      <c r="N51" s="328">
        <f t="shared" ref="N51" si="11">M51*J51</f>
        <v>64439613.209235728</v>
      </c>
      <c r="O51" s="376">
        <f t="shared" ref="O51" si="12">I51</f>
        <v>252735600</v>
      </c>
      <c r="P51" s="112" t="s">
        <v>24</v>
      </c>
      <c r="Q51" s="84">
        <f>I51-Q52</f>
        <v>189551700</v>
      </c>
      <c r="R51" s="84">
        <f>Q42-Q51</f>
        <v>-30798612</v>
      </c>
      <c r="S51" s="9"/>
    </row>
    <row r="52" spans="1:26" s="5" customFormat="1" ht="27" customHeight="1" x14ac:dyDescent="0.25">
      <c r="A52" s="382"/>
      <c r="B52" s="473"/>
      <c r="C52" s="473"/>
      <c r="D52" s="442"/>
      <c r="E52" s="457"/>
      <c r="F52" s="467"/>
      <c r="G52" s="469"/>
      <c r="H52" s="460"/>
      <c r="I52" s="460"/>
      <c r="J52" s="329"/>
      <c r="K52" s="329"/>
      <c r="L52" s="464"/>
      <c r="M52" s="465"/>
      <c r="N52" s="328"/>
      <c r="O52" s="376"/>
      <c r="P52" s="197" t="s">
        <v>133</v>
      </c>
      <c r="Q52" s="106">
        <f>I51*0.25</f>
        <v>63183900</v>
      </c>
      <c r="R52" s="106"/>
    </row>
    <row r="53" spans="1:26" s="5" customFormat="1" ht="27" customHeight="1" x14ac:dyDescent="0.25">
      <c r="A53" s="382"/>
      <c r="B53" s="473"/>
      <c r="C53" s="473"/>
      <c r="D53" s="459"/>
      <c r="E53" s="458"/>
      <c r="F53" s="467"/>
      <c r="G53" s="469"/>
      <c r="H53" s="460"/>
      <c r="I53" s="460"/>
      <c r="J53" s="329"/>
      <c r="K53" s="329"/>
      <c r="L53" s="464"/>
      <c r="M53" s="465"/>
      <c r="N53" s="328"/>
      <c r="O53" s="376"/>
      <c r="P53" s="113" t="s">
        <v>29</v>
      </c>
      <c r="Q53" s="111">
        <f>N51</f>
        <v>64439613.209235728</v>
      </c>
      <c r="R53" s="111">
        <f>Q44-Q53</f>
        <v>19325886.790764272</v>
      </c>
      <c r="S53" s="9"/>
    </row>
    <row r="54" spans="1:26" s="5" customFormat="1" ht="27" customHeight="1" x14ac:dyDescent="0.25">
      <c r="A54" s="382"/>
      <c r="B54" s="476" t="s">
        <v>48</v>
      </c>
      <c r="C54" s="477"/>
      <c r="D54" s="353" t="s">
        <v>31</v>
      </c>
      <c r="E54" s="456">
        <v>16500</v>
      </c>
      <c r="F54" s="467"/>
      <c r="G54" s="469">
        <f>E54</f>
        <v>16500</v>
      </c>
      <c r="H54" s="460">
        <v>1300</v>
      </c>
      <c r="I54" s="460">
        <f>G54*H54*12</f>
        <v>257400000</v>
      </c>
      <c r="J54" s="329">
        <f t="shared" ref="J54" si="13">J51</f>
        <v>4298</v>
      </c>
      <c r="K54" s="329">
        <f>K51*(12/L54)/(12/L51)</f>
        <v>57262.745498783457</v>
      </c>
      <c r="L54" s="464">
        <v>1</v>
      </c>
      <c r="M54" s="465">
        <f>M51</f>
        <v>14992.930016108825</v>
      </c>
      <c r="N54" s="328">
        <f>M54*J54</f>
        <v>64439613.209235728</v>
      </c>
      <c r="O54" s="376">
        <f t="shared" ref="O54" si="14">I54</f>
        <v>257400000</v>
      </c>
      <c r="P54" s="112" t="s">
        <v>24</v>
      </c>
      <c r="Q54" s="84">
        <f>I54-Q55</f>
        <v>193050000</v>
      </c>
      <c r="R54" s="84">
        <f>Q42-Q54</f>
        <v>-34296912</v>
      </c>
      <c r="S54" s="9"/>
    </row>
    <row r="55" spans="1:26" s="5" customFormat="1" ht="27" customHeight="1" x14ac:dyDescent="0.25">
      <c r="A55" s="382"/>
      <c r="B55" s="478"/>
      <c r="C55" s="479"/>
      <c r="D55" s="442"/>
      <c r="E55" s="457"/>
      <c r="F55" s="467"/>
      <c r="G55" s="469"/>
      <c r="H55" s="460"/>
      <c r="I55" s="460"/>
      <c r="J55" s="329"/>
      <c r="K55" s="329"/>
      <c r="L55" s="464"/>
      <c r="M55" s="465"/>
      <c r="N55" s="328"/>
      <c r="O55" s="376"/>
      <c r="P55" s="197" t="s">
        <v>133</v>
      </c>
      <c r="Q55" s="106">
        <f>I54*0.25</f>
        <v>64350000</v>
      </c>
      <c r="R55" s="106"/>
    </row>
    <row r="56" spans="1:26" s="5" customFormat="1" ht="27" customHeight="1" x14ac:dyDescent="0.25">
      <c r="A56" s="383"/>
      <c r="B56" s="480"/>
      <c r="C56" s="481"/>
      <c r="D56" s="459"/>
      <c r="E56" s="458"/>
      <c r="F56" s="468"/>
      <c r="G56" s="469"/>
      <c r="H56" s="460"/>
      <c r="I56" s="460"/>
      <c r="J56" s="329"/>
      <c r="K56" s="329"/>
      <c r="L56" s="464"/>
      <c r="M56" s="465"/>
      <c r="N56" s="328"/>
      <c r="O56" s="376"/>
      <c r="P56" s="113" t="s">
        <v>29</v>
      </c>
      <c r="Q56" s="111">
        <f>N54</f>
        <v>64439613.209235728</v>
      </c>
      <c r="R56" s="111">
        <f>Q44-Q56</f>
        <v>19325886.790764272</v>
      </c>
      <c r="S56" s="9"/>
    </row>
    <row r="57" spans="1:26" s="5" customFormat="1" ht="11.25" customHeight="1" x14ac:dyDescent="0.25">
      <c r="A57" s="374"/>
      <c r="B57" s="375"/>
      <c r="C57" s="375"/>
      <c r="D57" s="375"/>
      <c r="E57" s="375"/>
      <c r="F57" s="375"/>
      <c r="G57" s="375"/>
      <c r="H57" s="375"/>
      <c r="I57" s="375"/>
      <c r="J57" s="375"/>
      <c r="K57" s="375"/>
      <c r="L57" s="375"/>
      <c r="M57" s="375"/>
      <c r="N57" s="375"/>
      <c r="O57" s="375"/>
      <c r="P57" s="375"/>
      <c r="Q57" s="375"/>
      <c r="R57" s="375"/>
      <c r="S57" s="9"/>
    </row>
    <row r="59" spans="1:26" ht="15.75" customHeight="1" x14ac:dyDescent="0.3">
      <c r="B59" s="330" t="s">
        <v>159</v>
      </c>
      <c r="C59" s="330"/>
      <c r="D59" s="330"/>
      <c r="E59" s="330"/>
      <c r="F59" s="330"/>
      <c r="G59" s="330"/>
      <c r="H59" s="330"/>
      <c r="I59" s="330"/>
      <c r="J59" s="330"/>
      <c r="K59" s="330"/>
      <c r="L59" s="330"/>
      <c r="M59" s="330"/>
    </row>
    <row r="60" spans="1:26" ht="14.4" x14ac:dyDescent="0.3">
      <c r="A60" s="133"/>
      <c r="B60" s="330"/>
      <c r="C60" s="330"/>
      <c r="D60" s="330"/>
      <c r="E60" s="330"/>
      <c r="F60" s="330"/>
      <c r="G60" s="330"/>
      <c r="H60" s="330"/>
      <c r="I60" s="330"/>
      <c r="J60" s="330"/>
      <c r="K60" s="330"/>
      <c r="L60" s="330"/>
      <c r="M60" s="330"/>
      <c r="N60" s="125"/>
      <c r="O60" s="120"/>
      <c r="P60" s="123"/>
      <c r="Q60" s="123"/>
      <c r="R60" s="123"/>
      <c r="S60" s="123"/>
      <c r="T60" s="133"/>
      <c r="U60" s="123"/>
      <c r="V60" s="123"/>
      <c r="W60" s="123"/>
      <c r="X60" s="123"/>
      <c r="Y60" s="123"/>
      <c r="Z60" s="123"/>
    </row>
    <row r="61" spans="1:26" ht="14.4" x14ac:dyDescent="0.3">
      <c r="A61" s="123"/>
      <c r="B61" s="123"/>
      <c r="C61" s="127"/>
      <c r="D61" s="127"/>
      <c r="E61" s="129"/>
      <c r="F61" s="129"/>
      <c r="G61" s="129"/>
      <c r="H61" s="140"/>
      <c r="I61" s="120"/>
      <c r="J61" s="120"/>
      <c r="K61" s="120"/>
      <c r="L61" s="120"/>
      <c r="M61" s="120"/>
      <c r="N61" s="125"/>
      <c r="O61" s="120"/>
      <c r="P61" s="123"/>
      <c r="Q61" s="123"/>
      <c r="R61" s="123"/>
      <c r="S61" s="123"/>
      <c r="T61" s="123"/>
      <c r="U61" s="123"/>
      <c r="V61" s="123"/>
      <c r="W61" s="123"/>
      <c r="X61" s="123"/>
      <c r="Y61" s="123"/>
      <c r="Z61" s="123"/>
    </row>
    <row r="62" spans="1:26" ht="14.4" x14ac:dyDescent="0.3">
      <c r="A62" s="123"/>
      <c r="B62" s="123"/>
      <c r="C62" s="123"/>
      <c r="D62" s="121"/>
      <c r="E62" s="120"/>
      <c r="F62" s="120"/>
      <c r="G62" s="120"/>
      <c r="H62" s="120"/>
      <c r="I62" s="120"/>
      <c r="J62" s="120"/>
      <c r="K62" s="120"/>
      <c r="L62" s="120"/>
      <c r="M62" s="120"/>
      <c r="N62" s="125"/>
      <c r="O62" s="120"/>
      <c r="P62" s="123"/>
      <c r="Q62" s="123"/>
      <c r="R62" s="123"/>
      <c r="S62" s="123"/>
      <c r="T62" s="123"/>
      <c r="U62" s="123"/>
      <c r="V62" s="123"/>
      <c r="W62" s="123"/>
      <c r="X62" s="123"/>
      <c r="Y62" s="123"/>
      <c r="Z62" s="123"/>
    </row>
    <row r="63" spans="1:26" ht="14.4" x14ac:dyDescent="0.3">
      <c r="A63" s="123"/>
      <c r="B63" s="123"/>
      <c r="C63" s="123"/>
      <c r="D63" s="121"/>
      <c r="E63" s="120"/>
      <c r="F63" s="120"/>
      <c r="G63" s="120"/>
      <c r="H63" s="120"/>
      <c r="I63" s="120"/>
      <c r="J63" s="120"/>
      <c r="K63" s="120"/>
      <c r="L63" s="120"/>
      <c r="M63" s="120"/>
      <c r="N63" s="120"/>
      <c r="O63" s="120"/>
      <c r="P63" s="123"/>
      <c r="Q63" s="123"/>
      <c r="R63" s="123"/>
      <c r="S63" s="123"/>
      <c r="T63" s="123"/>
      <c r="U63" s="123"/>
      <c r="V63" s="123"/>
      <c r="W63" s="123"/>
      <c r="X63" s="123"/>
      <c r="Y63" s="123"/>
      <c r="Z63" s="123"/>
    </row>
    <row r="64" spans="1:26" ht="14.4" x14ac:dyDescent="0.3">
      <c r="A64" s="123"/>
      <c r="B64" s="123"/>
      <c r="C64" s="123"/>
      <c r="D64" s="121"/>
      <c r="E64" s="120"/>
      <c r="F64" s="120"/>
      <c r="G64" s="120"/>
      <c r="H64" s="120"/>
      <c r="I64" s="120"/>
      <c r="J64" s="120"/>
      <c r="K64" s="120"/>
      <c r="L64" s="120"/>
      <c r="M64" s="120"/>
      <c r="N64" s="120"/>
      <c r="O64" s="120"/>
      <c r="P64" s="123"/>
      <c r="Q64" s="123"/>
      <c r="R64" s="123"/>
      <c r="S64" s="123"/>
      <c r="T64" s="123"/>
      <c r="U64" s="123"/>
      <c r="V64" s="123"/>
      <c r="W64" s="123"/>
      <c r="X64" s="123"/>
      <c r="Y64" s="123"/>
      <c r="Z64" s="123"/>
    </row>
    <row r="65" spans="1:26" ht="14.4" x14ac:dyDescent="0.3">
      <c r="A65" s="123"/>
      <c r="B65" s="123"/>
      <c r="C65" s="123"/>
      <c r="D65" s="121"/>
      <c r="E65" s="120"/>
      <c r="F65" s="120"/>
      <c r="G65" s="120"/>
      <c r="H65" s="120"/>
      <c r="I65" s="120"/>
      <c r="J65" s="120"/>
      <c r="K65" s="120"/>
      <c r="L65" s="120"/>
      <c r="M65" s="120"/>
      <c r="N65" s="120"/>
      <c r="O65" s="120"/>
      <c r="P65" s="123"/>
      <c r="Q65" s="123"/>
      <c r="R65" s="123"/>
      <c r="S65" s="123"/>
      <c r="T65" s="123"/>
      <c r="U65" s="123"/>
      <c r="V65" s="123"/>
      <c r="W65" s="123"/>
      <c r="X65" s="123"/>
      <c r="Y65" s="123"/>
      <c r="Z65" s="123"/>
    </row>
    <row r="66" spans="1:26" ht="14.4" x14ac:dyDescent="0.3">
      <c r="A66" s="123"/>
      <c r="B66" s="123"/>
      <c r="C66" s="123"/>
      <c r="D66" s="121"/>
      <c r="E66" s="120"/>
      <c r="F66" s="120"/>
      <c r="G66" s="120"/>
      <c r="H66" s="120"/>
      <c r="I66" s="120"/>
      <c r="J66" s="120"/>
      <c r="K66" s="120"/>
      <c r="L66" s="120"/>
      <c r="M66" s="120"/>
      <c r="N66" s="120"/>
      <c r="O66" s="120"/>
      <c r="P66" s="123"/>
      <c r="Q66" s="123"/>
      <c r="R66" s="123"/>
      <c r="S66" s="123"/>
      <c r="T66" s="123"/>
      <c r="U66" s="123"/>
      <c r="V66" s="123"/>
      <c r="W66" s="123"/>
      <c r="X66" s="123"/>
      <c r="Y66" s="123"/>
      <c r="Z66" s="123"/>
    </row>
  </sheetData>
  <mergeCells count="144">
    <mergeCell ref="B41:C41"/>
    <mergeCell ref="B48:C50"/>
    <mergeCell ref="B51:C53"/>
    <mergeCell ref="G42:G44"/>
    <mergeCell ref="H42:H44"/>
    <mergeCell ref="J54:J56"/>
    <mergeCell ref="K51:K53"/>
    <mergeCell ref="K54:K56"/>
    <mergeCell ref="I45:I47"/>
    <mergeCell ref="B42:C44"/>
    <mergeCell ref="B45:C47"/>
    <mergeCell ref="B54:C56"/>
    <mergeCell ref="D54:D56"/>
    <mergeCell ref="E54:E56"/>
    <mergeCell ref="N54:N56"/>
    <mergeCell ref="L45:L47"/>
    <mergeCell ref="M45:M47"/>
    <mergeCell ref="N45:N47"/>
    <mergeCell ref="L48:L50"/>
    <mergeCell ref="L51:L53"/>
    <mergeCell ref="F41:F56"/>
    <mergeCell ref="G45:G47"/>
    <mergeCell ref="G48:G50"/>
    <mergeCell ref="G51:G53"/>
    <mergeCell ref="G54:G56"/>
    <mergeCell ref="I42:I44"/>
    <mergeCell ref="I48:I50"/>
    <mergeCell ref="L54:L56"/>
    <mergeCell ref="M48:M50"/>
    <mergeCell ref="M51:M53"/>
    <mergeCell ref="M54:M56"/>
    <mergeCell ref="H54:H56"/>
    <mergeCell ref="I51:I53"/>
    <mergeCell ref="I54:I56"/>
    <mergeCell ref="H48:H50"/>
    <mergeCell ref="H51:H53"/>
    <mergeCell ref="K42:K44"/>
    <mergeCell ref="L22:M22"/>
    <mergeCell ref="A23:R23"/>
    <mergeCell ref="A40:R40"/>
    <mergeCell ref="J45:J47"/>
    <mergeCell ref="J48:J50"/>
    <mergeCell ref="J51:J53"/>
    <mergeCell ref="N48:N50"/>
    <mergeCell ref="N51:N53"/>
    <mergeCell ref="F22:J22"/>
    <mergeCell ref="P22:R22"/>
    <mergeCell ref="E45:E47"/>
    <mergeCell ref="D45:D47"/>
    <mergeCell ref="D48:D50"/>
    <mergeCell ref="E48:E50"/>
    <mergeCell ref="D51:D53"/>
    <mergeCell ref="E51:E53"/>
    <mergeCell ref="H45:H47"/>
    <mergeCell ref="D42:D44"/>
    <mergeCell ref="E42:E44"/>
    <mergeCell ref="B24:C24"/>
    <mergeCell ref="B25:B27"/>
    <mergeCell ref="B31:C33"/>
    <mergeCell ref="O48:O50"/>
    <mergeCell ref="J42:J44"/>
    <mergeCell ref="O37:O39"/>
    <mergeCell ref="O25:O27"/>
    <mergeCell ref="F27:J27"/>
    <mergeCell ref="F36:J36"/>
    <mergeCell ref="F39:J39"/>
    <mergeCell ref="D31:D33"/>
    <mergeCell ref="E31:E33"/>
    <mergeCell ref="E34:E36"/>
    <mergeCell ref="E37:E39"/>
    <mergeCell ref="D34:D36"/>
    <mergeCell ref="D37:D39"/>
    <mergeCell ref="F10:J10"/>
    <mergeCell ref="A24:A39"/>
    <mergeCell ref="S5:U5"/>
    <mergeCell ref="L10:M10"/>
    <mergeCell ref="F6:J6"/>
    <mergeCell ref="P10:R10"/>
    <mergeCell ref="L14:M14"/>
    <mergeCell ref="L18:M18"/>
    <mergeCell ref="F14:J14"/>
    <mergeCell ref="F18:J18"/>
    <mergeCell ref="P18:R18"/>
    <mergeCell ref="P14:R14"/>
    <mergeCell ref="B15:C18"/>
    <mergeCell ref="B19:C22"/>
    <mergeCell ref="C11:C14"/>
    <mergeCell ref="O19:O22"/>
    <mergeCell ref="B34:C36"/>
    <mergeCell ref="B37:C39"/>
    <mergeCell ref="B28:B30"/>
    <mergeCell ref="C29:C30"/>
    <mergeCell ref="F30:J30"/>
    <mergeCell ref="F33:J33"/>
    <mergeCell ref="O31:O33"/>
    <mergeCell ref="O34:O36"/>
    <mergeCell ref="L6:M6"/>
    <mergeCell ref="P6:R6"/>
    <mergeCell ref="A1:A2"/>
    <mergeCell ref="B1:C2"/>
    <mergeCell ref="D1:D2"/>
    <mergeCell ref="B3:B4"/>
    <mergeCell ref="A57:R57"/>
    <mergeCell ref="O51:O53"/>
    <mergeCell ref="O54:O56"/>
    <mergeCell ref="D28:D30"/>
    <mergeCell ref="E28:E30"/>
    <mergeCell ref="A41:A56"/>
    <mergeCell ref="O45:O47"/>
    <mergeCell ref="C25:C27"/>
    <mergeCell ref="E25:E27"/>
    <mergeCell ref="D25:D27"/>
    <mergeCell ref="A3:A22"/>
    <mergeCell ref="D19:D22"/>
    <mergeCell ref="E19:E22"/>
    <mergeCell ref="O28:O30"/>
    <mergeCell ref="O11:O14"/>
    <mergeCell ref="D15:D18"/>
    <mergeCell ref="E15:E18"/>
    <mergeCell ref="O15:O18"/>
    <mergeCell ref="O42:O44"/>
    <mergeCell ref="L42:L44"/>
    <mergeCell ref="M42:M44"/>
    <mergeCell ref="N42:N44"/>
    <mergeCell ref="K45:K47"/>
    <mergeCell ref="K48:K50"/>
    <mergeCell ref="B59:M60"/>
    <mergeCell ref="O1:R1"/>
    <mergeCell ref="E3:E6"/>
    <mergeCell ref="B11:B14"/>
    <mergeCell ref="E7:E10"/>
    <mergeCell ref="O7:O10"/>
    <mergeCell ref="I1:K1"/>
    <mergeCell ref="L1:N1"/>
    <mergeCell ref="D3:D6"/>
    <mergeCell ref="D7:D10"/>
    <mergeCell ref="O3:O6"/>
    <mergeCell ref="D11:D14"/>
    <mergeCell ref="E11:E14"/>
    <mergeCell ref="E1:H1"/>
    <mergeCell ref="B5:B6"/>
    <mergeCell ref="C3:C4"/>
    <mergeCell ref="C5:C6"/>
    <mergeCell ref="B7:C10"/>
  </mergeCells>
  <pageMargins left="0.7" right="0.7" top="0.75" bottom="0.75" header="0.3" footer="0.3"/>
  <pageSetup paperSize="9" orientation="portrait" r:id="rId1"/>
  <ignoredErrors>
    <ignoredError sqref="K6:N21 K27:L3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03ACC-DD3C-400C-A6E7-99CE53CDB186}">
  <dimension ref="A1:AA66"/>
  <sheetViews>
    <sheetView zoomScale="71" zoomScaleNormal="71" workbookViewId="0">
      <selection activeCell="T11" sqref="T11:T13"/>
    </sheetView>
  </sheetViews>
  <sheetFormatPr defaultColWidth="9.109375" defaultRowHeight="15.6" x14ac:dyDescent="0.3"/>
  <cols>
    <col min="1" max="1" width="13.6640625" style="2" customWidth="1"/>
    <col min="2" max="2" width="30.6640625" style="2" customWidth="1"/>
    <col min="3" max="3" width="17.88671875" style="2" customWidth="1"/>
    <col min="4" max="4" width="11.109375" style="26" customWidth="1"/>
    <col min="5" max="5" width="15.88671875" style="6" customWidth="1"/>
    <col min="6" max="6" width="16.5546875" style="6" customWidth="1"/>
    <col min="7" max="7" width="12.5546875" style="6" customWidth="1"/>
    <col min="8" max="8" width="15.109375" style="6" customWidth="1"/>
    <col min="9" max="9" width="12.33203125" style="6" customWidth="1"/>
    <col min="10" max="10" width="11.109375" style="6" customWidth="1"/>
    <col min="11" max="11" width="12.88671875" style="6" customWidth="1"/>
    <col min="12" max="14" width="12.5546875" style="6" customWidth="1"/>
    <col min="15" max="15" width="14.6640625" style="6" customWidth="1"/>
    <col min="16" max="16" width="34.88671875" style="2" customWidth="1"/>
    <col min="17" max="17" width="13.6640625" style="2" customWidth="1"/>
    <col min="18" max="18" width="15.6640625" style="2" customWidth="1"/>
    <col min="19" max="19" width="15.88671875" style="2" customWidth="1"/>
    <col min="20" max="20" width="20" style="2" customWidth="1"/>
    <col min="21" max="21" width="13.109375" style="2" bestFit="1" customWidth="1"/>
    <col min="22" max="22" width="11.6640625" style="2" customWidth="1"/>
    <col min="23" max="23" width="14.6640625" style="2" customWidth="1"/>
    <col min="24" max="24" width="13" style="2" customWidth="1"/>
    <col min="25" max="25" width="16.109375" style="2" customWidth="1"/>
    <col min="26" max="26" width="15.109375" style="2" customWidth="1"/>
    <col min="27" max="27" width="14.88671875" style="2" customWidth="1"/>
    <col min="28" max="16384" width="9.109375" style="2"/>
  </cols>
  <sheetData>
    <row r="1" spans="1:23" s="8" customFormat="1" ht="48" customHeight="1" x14ac:dyDescent="0.3">
      <c r="A1" s="499" t="s">
        <v>1</v>
      </c>
      <c r="B1" s="501" t="s">
        <v>2</v>
      </c>
      <c r="C1" s="501"/>
      <c r="D1" s="501" t="s">
        <v>3</v>
      </c>
      <c r="E1" s="502" t="s">
        <v>4</v>
      </c>
      <c r="F1" s="502"/>
      <c r="G1" s="502"/>
      <c r="H1" s="502"/>
      <c r="I1" s="503" t="s">
        <v>5</v>
      </c>
      <c r="J1" s="503"/>
      <c r="K1" s="501"/>
      <c r="L1" s="504" t="s">
        <v>6</v>
      </c>
      <c r="M1" s="504"/>
      <c r="N1" s="504"/>
      <c r="O1" s="482" t="s">
        <v>7</v>
      </c>
      <c r="P1" s="483"/>
      <c r="Q1" s="483"/>
      <c r="R1" s="483"/>
      <c r="S1" s="483"/>
      <c r="T1" s="484"/>
      <c r="U1" s="7"/>
    </row>
    <row r="2" spans="1:23" s="8" customFormat="1" ht="66.75" customHeight="1" thickBot="1" x14ac:dyDescent="0.35">
      <c r="A2" s="500"/>
      <c r="B2" s="372"/>
      <c r="C2" s="372"/>
      <c r="D2" s="372"/>
      <c r="E2" s="54" t="s">
        <v>8</v>
      </c>
      <c r="F2" s="54" t="s">
        <v>9</v>
      </c>
      <c r="G2" s="54" t="s">
        <v>10</v>
      </c>
      <c r="H2" s="54" t="s">
        <v>11</v>
      </c>
      <c r="I2" s="55" t="s">
        <v>12</v>
      </c>
      <c r="J2" s="55" t="s">
        <v>13</v>
      </c>
      <c r="K2" s="55" t="s">
        <v>14</v>
      </c>
      <c r="L2" s="56" t="s">
        <v>15</v>
      </c>
      <c r="M2" s="56" t="s">
        <v>16</v>
      </c>
      <c r="N2" s="57" t="s">
        <v>14</v>
      </c>
      <c r="O2" s="58" t="s">
        <v>17</v>
      </c>
      <c r="P2" s="59" t="s">
        <v>18</v>
      </c>
      <c r="Q2" s="59" t="s">
        <v>19</v>
      </c>
      <c r="R2" s="59" t="s">
        <v>172</v>
      </c>
      <c r="S2" s="59" t="s">
        <v>164</v>
      </c>
      <c r="T2" s="262" t="s">
        <v>173</v>
      </c>
      <c r="U2" s="7"/>
    </row>
    <row r="3" spans="1:23" s="5" customFormat="1" ht="26.25" customHeight="1" x14ac:dyDescent="0.25">
      <c r="A3" s="497" t="s">
        <v>21</v>
      </c>
      <c r="B3" s="373" t="s">
        <v>22</v>
      </c>
      <c r="C3" s="356">
        <v>4240</v>
      </c>
      <c r="D3" s="348">
        <v>2023</v>
      </c>
      <c r="E3" s="333">
        <v>2055</v>
      </c>
      <c r="F3" s="167" t="s">
        <v>23</v>
      </c>
      <c r="G3" s="168"/>
      <c r="H3" s="52">
        <v>2055</v>
      </c>
      <c r="I3" s="48">
        <v>75</v>
      </c>
      <c r="J3" s="49">
        <v>7.9</v>
      </c>
      <c r="K3" s="50">
        <f>H3*I3*J3*12</f>
        <v>14611050</v>
      </c>
      <c r="L3" s="169"/>
      <c r="M3" s="39"/>
      <c r="N3" s="40"/>
      <c r="O3" s="342">
        <f>K6+N6</f>
        <v>14611050</v>
      </c>
      <c r="P3" s="170" t="s">
        <v>24</v>
      </c>
      <c r="Q3" s="50">
        <f>K6-Q4</f>
        <v>13588276.5</v>
      </c>
      <c r="R3" s="233">
        <v>9252651</v>
      </c>
      <c r="S3" s="50">
        <v>0</v>
      </c>
      <c r="T3" s="263">
        <f>Q3-R3</f>
        <v>4335625.5</v>
      </c>
    </row>
    <row r="4" spans="1:23" s="5" customFormat="1" ht="26.25" customHeight="1" x14ac:dyDescent="0.25">
      <c r="A4" s="497"/>
      <c r="B4" s="337"/>
      <c r="C4" s="357"/>
      <c r="D4" s="349"/>
      <c r="E4" s="334"/>
      <c r="F4" s="171"/>
      <c r="G4" s="172"/>
      <c r="H4" s="173"/>
      <c r="I4" s="174"/>
      <c r="J4" s="175"/>
      <c r="K4" s="176"/>
      <c r="L4" s="177"/>
      <c r="M4" s="178"/>
      <c r="N4" s="179"/>
      <c r="O4" s="343"/>
      <c r="P4" s="180" t="s">
        <v>26</v>
      </c>
      <c r="Q4" s="161">
        <f>K6*0.07</f>
        <v>1022773.5000000001</v>
      </c>
      <c r="R4" s="234"/>
      <c r="S4" s="161">
        <v>0</v>
      </c>
      <c r="T4" s="264">
        <f>R4</f>
        <v>0</v>
      </c>
    </row>
    <row r="5" spans="1:23" s="5" customFormat="1" ht="26.25" customHeight="1" x14ac:dyDescent="0.25">
      <c r="A5" s="497"/>
      <c r="B5" s="337" t="s">
        <v>27</v>
      </c>
      <c r="C5" s="357">
        <v>2540</v>
      </c>
      <c r="D5" s="349"/>
      <c r="E5" s="334"/>
      <c r="F5" s="181"/>
      <c r="G5" s="182"/>
      <c r="H5" s="11"/>
      <c r="I5" s="183"/>
      <c r="J5" s="184"/>
      <c r="K5" s="185"/>
      <c r="L5" s="186"/>
      <c r="M5" s="187"/>
      <c r="N5" s="188"/>
      <c r="O5" s="354"/>
      <c r="P5" s="189" t="s">
        <v>29</v>
      </c>
      <c r="Q5" s="18">
        <f>N6</f>
        <v>0</v>
      </c>
      <c r="R5" s="235"/>
      <c r="S5" s="18">
        <v>0</v>
      </c>
      <c r="T5" s="265">
        <v>0</v>
      </c>
      <c r="U5" s="257"/>
      <c r="V5" s="257"/>
    </row>
    <row r="6" spans="1:23" s="5" customFormat="1" ht="26.25" customHeight="1" thickBot="1" x14ac:dyDescent="0.3">
      <c r="A6" s="497"/>
      <c r="B6" s="338"/>
      <c r="C6" s="358"/>
      <c r="D6" s="350"/>
      <c r="E6" s="335"/>
      <c r="F6" s="402" t="s">
        <v>30</v>
      </c>
      <c r="G6" s="396"/>
      <c r="H6" s="396"/>
      <c r="I6" s="396"/>
      <c r="J6" s="397"/>
      <c r="K6" s="190">
        <f>SUM(K3:K5)</f>
        <v>14611050</v>
      </c>
      <c r="L6" s="365" t="s">
        <v>30</v>
      </c>
      <c r="M6" s="366"/>
      <c r="N6" s="191">
        <f>SUM(N3:N5)</f>
        <v>0</v>
      </c>
      <c r="O6" s="344"/>
      <c r="P6" s="485"/>
      <c r="Q6" s="486"/>
      <c r="R6" s="486"/>
      <c r="S6" s="486"/>
      <c r="T6" s="487"/>
    </row>
    <row r="7" spans="1:23" s="4" customFormat="1" ht="26.25" customHeight="1" x14ac:dyDescent="0.25">
      <c r="A7" s="497"/>
      <c r="B7" s="359"/>
      <c r="C7" s="360"/>
      <c r="D7" s="351">
        <v>2024</v>
      </c>
      <c r="E7" s="339">
        <v>2055</v>
      </c>
      <c r="F7" s="34" t="s">
        <v>23</v>
      </c>
      <c r="G7" s="192"/>
      <c r="H7" s="35">
        <v>2055</v>
      </c>
      <c r="I7" s="36">
        <v>75</v>
      </c>
      <c r="J7" s="37">
        <v>7.9</v>
      </c>
      <c r="K7" s="38">
        <f>H7*I7*J7*12</f>
        <v>14611050</v>
      </c>
      <c r="L7" s="193"/>
      <c r="M7" s="39"/>
      <c r="N7" s="40"/>
      <c r="O7" s="342">
        <f>K10+N10</f>
        <v>14611050</v>
      </c>
      <c r="P7" s="170" t="s">
        <v>24</v>
      </c>
      <c r="Q7" s="50">
        <f>K10-Q8</f>
        <v>13880497.5</v>
      </c>
      <c r="R7" s="233">
        <v>9115766</v>
      </c>
      <c r="S7" s="50">
        <f>T7-T3</f>
        <v>429106</v>
      </c>
      <c r="T7" s="263">
        <f>Q7-R7</f>
        <v>4764731.5</v>
      </c>
      <c r="U7" s="5"/>
      <c r="V7" s="5"/>
      <c r="W7" s="155"/>
    </row>
    <row r="8" spans="1:23" s="4" customFormat="1" ht="41.4" customHeight="1" x14ac:dyDescent="0.25">
      <c r="A8" s="497"/>
      <c r="B8" s="361"/>
      <c r="C8" s="362"/>
      <c r="D8" s="352"/>
      <c r="E8" s="340"/>
      <c r="F8" s="27"/>
      <c r="G8" s="194"/>
      <c r="H8" s="11"/>
      <c r="I8" s="12"/>
      <c r="J8" s="23"/>
      <c r="K8" s="16"/>
      <c r="L8" s="14"/>
      <c r="M8" s="22"/>
      <c r="N8" s="18"/>
      <c r="O8" s="343"/>
      <c r="P8" s="180" t="s">
        <v>130</v>
      </c>
      <c r="Q8" s="161">
        <f>K10*0.05</f>
        <v>730552.5</v>
      </c>
      <c r="R8" s="161"/>
      <c r="S8" s="161">
        <f>Q8-S4</f>
        <v>730552.5</v>
      </c>
      <c r="T8" s="264">
        <f>R8-T4</f>
        <v>0</v>
      </c>
      <c r="U8" s="159"/>
      <c r="V8" s="159"/>
      <c r="W8" s="160"/>
    </row>
    <row r="9" spans="1:23" s="4" customFormat="1" ht="26.25" customHeight="1" x14ac:dyDescent="0.25">
      <c r="A9" s="497"/>
      <c r="B9" s="361"/>
      <c r="C9" s="362"/>
      <c r="D9" s="352"/>
      <c r="E9" s="340"/>
      <c r="F9" s="28"/>
      <c r="G9" s="182"/>
      <c r="H9" s="11"/>
      <c r="I9" s="13"/>
      <c r="J9" s="21"/>
      <c r="K9" s="17"/>
      <c r="L9" s="14"/>
      <c r="M9" s="22"/>
      <c r="N9" s="18"/>
      <c r="O9" s="343"/>
      <c r="P9" s="189" t="s">
        <v>29</v>
      </c>
      <c r="Q9" s="18">
        <f>N10</f>
        <v>0</v>
      </c>
      <c r="R9" s="235"/>
      <c r="S9" s="18">
        <f>Q5-Q9</f>
        <v>0</v>
      </c>
      <c r="T9" s="265">
        <f>R5-R9</f>
        <v>0</v>
      </c>
      <c r="U9" s="5"/>
      <c r="V9" s="5"/>
      <c r="W9" s="5"/>
    </row>
    <row r="10" spans="1:23" s="4" customFormat="1" ht="26.25" customHeight="1" thickBot="1" x14ac:dyDescent="0.3">
      <c r="A10" s="497"/>
      <c r="B10" s="363"/>
      <c r="C10" s="364"/>
      <c r="D10" s="353"/>
      <c r="E10" s="341"/>
      <c r="F10" s="396" t="s">
        <v>30</v>
      </c>
      <c r="G10" s="396"/>
      <c r="H10" s="396"/>
      <c r="I10" s="396"/>
      <c r="J10" s="397"/>
      <c r="K10" s="19">
        <f>SUM(K7:K9)</f>
        <v>14611050</v>
      </c>
      <c r="L10" s="365" t="s">
        <v>30</v>
      </c>
      <c r="M10" s="366"/>
      <c r="N10" s="20">
        <f>SUM(N7:N9)</f>
        <v>0</v>
      </c>
      <c r="O10" s="344"/>
      <c r="P10" s="488"/>
      <c r="Q10" s="489"/>
      <c r="R10" s="489"/>
      <c r="S10" s="489"/>
      <c r="T10" s="490"/>
      <c r="U10" s="5"/>
      <c r="V10" s="5"/>
      <c r="W10" s="5"/>
    </row>
    <row r="11" spans="1:23" s="5" customFormat="1" ht="26.25" customHeight="1" x14ac:dyDescent="0.25">
      <c r="A11" s="497"/>
      <c r="B11" s="336" t="s">
        <v>131</v>
      </c>
      <c r="C11" s="420">
        <v>43940212</v>
      </c>
      <c r="D11" s="351">
        <v>2025</v>
      </c>
      <c r="E11" s="339">
        <v>2055</v>
      </c>
      <c r="F11" s="46" t="s">
        <v>23</v>
      </c>
      <c r="G11" s="192"/>
      <c r="H11" s="47">
        <v>2055</v>
      </c>
      <c r="I11" s="48">
        <v>75</v>
      </c>
      <c r="J11" s="49">
        <v>7.9</v>
      </c>
      <c r="K11" s="50">
        <f>H11*I11*J11*12</f>
        <v>14611050</v>
      </c>
      <c r="L11" s="169"/>
      <c r="M11" s="39"/>
      <c r="N11" s="40"/>
      <c r="O11" s="342">
        <f>K14+N14</f>
        <v>14611050</v>
      </c>
      <c r="P11" s="170" t="s">
        <v>24</v>
      </c>
      <c r="Q11" s="50">
        <f>K14-Q12</f>
        <v>13880497.5</v>
      </c>
      <c r="R11" s="233">
        <v>9627288</v>
      </c>
      <c r="S11" s="50">
        <f>T11-T3</f>
        <v>-82416</v>
      </c>
      <c r="T11" s="263">
        <f>Q11-R11</f>
        <v>4253209.5</v>
      </c>
    </row>
    <row r="12" spans="1:23" s="5" customFormat="1" ht="26.25" customHeight="1" x14ac:dyDescent="0.25">
      <c r="A12" s="497"/>
      <c r="B12" s="337"/>
      <c r="C12" s="421"/>
      <c r="D12" s="352"/>
      <c r="E12" s="340"/>
      <c r="F12" s="28"/>
      <c r="G12" s="194"/>
      <c r="H12" s="24"/>
      <c r="I12" s="13"/>
      <c r="J12" s="21"/>
      <c r="K12" s="17"/>
      <c r="L12" s="14"/>
      <c r="M12" s="22"/>
      <c r="N12" s="18"/>
      <c r="O12" s="343"/>
      <c r="P12" s="180" t="s">
        <v>130</v>
      </c>
      <c r="Q12" s="161">
        <f>K14*0.05</f>
        <v>730552.5</v>
      </c>
      <c r="R12" s="234"/>
      <c r="S12" s="161">
        <f>Q12-S4</f>
        <v>730552.5</v>
      </c>
      <c r="T12" s="264">
        <f>R12-T4</f>
        <v>0</v>
      </c>
    </row>
    <row r="13" spans="1:23" s="5" customFormat="1" ht="26.25" customHeight="1" x14ac:dyDescent="0.25">
      <c r="A13" s="497"/>
      <c r="B13" s="337"/>
      <c r="C13" s="421"/>
      <c r="D13" s="352"/>
      <c r="E13" s="340"/>
      <c r="F13" s="28"/>
      <c r="G13" s="182"/>
      <c r="H13" s="24"/>
      <c r="I13" s="13"/>
      <c r="J13" s="21"/>
      <c r="K13" s="17"/>
      <c r="L13" s="14"/>
      <c r="M13" s="22"/>
      <c r="N13" s="18"/>
      <c r="O13" s="343"/>
      <c r="P13" s="189" t="s">
        <v>29</v>
      </c>
      <c r="Q13" s="18">
        <f>N14</f>
        <v>0</v>
      </c>
      <c r="R13" s="235"/>
      <c r="S13" s="18">
        <f>Q5-Q13</f>
        <v>0</v>
      </c>
      <c r="T13" s="265">
        <f>R5-R13</f>
        <v>0</v>
      </c>
    </row>
    <row r="14" spans="1:23" s="5" customFormat="1" ht="26.25" customHeight="1" thickBot="1" x14ac:dyDescent="0.3">
      <c r="A14" s="497"/>
      <c r="B14" s="338"/>
      <c r="C14" s="422"/>
      <c r="D14" s="353"/>
      <c r="E14" s="341"/>
      <c r="F14" s="396" t="s">
        <v>30</v>
      </c>
      <c r="G14" s="396"/>
      <c r="H14" s="396"/>
      <c r="I14" s="396"/>
      <c r="J14" s="397"/>
      <c r="K14" s="19">
        <f>SUM(K11:K13)</f>
        <v>14611050</v>
      </c>
      <c r="L14" s="365" t="s">
        <v>30</v>
      </c>
      <c r="M14" s="366"/>
      <c r="N14" s="20">
        <f>SUM(N11:N13)</f>
        <v>0</v>
      </c>
      <c r="O14" s="344"/>
      <c r="P14" s="488"/>
      <c r="Q14" s="489"/>
      <c r="R14" s="489"/>
      <c r="S14" s="489"/>
      <c r="T14" s="490"/>
    </row>
    <row r="15" spans="1:23" s="5" customFormat="1" ht="26.25" customHeight="1" x14ac:dyDescent="0.25">
      <c r="A15" s="497"/>
      <c r="B15" s="409"/>
      <c r="C15" s="410"/>
      <c r="D15" s="351">
        <v>2026</v>
      </c>
      <c r="E15" s="339">
        <v>2055</v>
      </c>
      <c r="F15" s="46" t="s">
        <v>23</v>
      </c>
      <c r="G15" s="192"/>
      <c r="H15" s="47">
        <v>2055</v>
      </c>
      <c r="I15" s="48">
        <v>75</v>
      </c>
      <c r="J15" s="49">
        <v>7.9</v>
      </c>
      <c r="K15" s="50">
        <f>H15*I15*J15*12</f>
        <v>14611050</v>
      </c>
      <c r="L15" s="169"/>
      <c r="M15" s="39"/>
      <c r="N15" s="40"/>
      <c r="O15" s="342">
        <f>K18+N18</f>
        <v>14611050</v>
      </c>
      <c r="P15" s="170" t="s">
        <v>24</v>
      </c>
      <c r="Q15" s="50">
        <f>K18-Q16</f>
        <v>13880497.5</v>
      </c>
      <c r="R15" s="233">
        <v>8069020</v>
      </c>
      <c r="S15" s="50">
        <f>T15-T3</f>
        <v>1475852</v>
      </c>
      <c r="T15" s="263">
        <f>Q15-R15</f>
        <v>5811477.5</v>
      </c>
    </row>
    <row r="16" spans="1:23" s="5" customFormat="1" ht="26.25" customHeight="1" x14ac:dyDescent="0.25">
      <c r="A16" s="497"/>
      <c r="B16" s="411"/>
      <c r="C16" s="412"/>
      <c r="D16" s="352"/>
      <c r="E16" s="340"/>
      <c r="F16" s="28" t="s">
        <v>25</v>
      </c>
      <c r="G16" s="194"/>
      <c r="H16" s="24"/>
      <c r="I16" s="13"/>
      <c r="J16" s="21"/>
      <c r="K16" s="17"/>
      <c r="L16" s="14"/>
      <c r="M16" s="22"/>
      <c r="N16" s="18"/>
      <c r="O16" s="343"/>
      <c r="P16" s="180" t="s">
        <v>130</v>
      </c>
      <c r="Q16" s="161">
        <f>K18*0.05</f>
        <v>730552.5</v>
      </c>
      <c r="R16" s="234"/>
      <c r="S16" s="161">
        <f>Q16-S4</f>
        <v>730552.5</v>
      </c>
      <c r="T16" s="264">
        <f>R16-T4</f>
        <v>0</v>
      </c>
      <c r="U16" s="251"/>
    </row>
    <row r="17" spans="1:23" s="5" customFormat="1" ht="26.25" customHeight="1" x14ac:dyDescent="0.25">
      <c r="A17" s="497"/>
      <c r="B17" s="411"/>
      <c r="C17" s="412"/>
      <c r="D17" s="352"/>
      <c r="E17" s="340"/>
      <c r="F17" s="28" t="s">
        <v>28</v>
      </c>
      <c r="G17" s="182"/>
      <c r="H17" s="24"/>
      <c r="I17" s="13"/>
      <c r="J17" s="21"/>
      <c r="K17" s="17"/>
      <c r="L17" s="14"/>
      <c r="M17" s="22"/>
      <c r="N17" s="18"/>
      <c r="O17" s="343"/>
      <c r="P17" s="189" t="s">
        <v>29</v>
      </c>
      <c r="Q17" s="18">
        <f>N18</f>
        <v>0</v>
      </c>
      <c r="R17" s="235"/>
      <c r="S17" s="18">
        <f>Q5-Q17</f>
        <v>0</v>
      </c>
      <c r="T17" s="265">
        <f>R5-R17</f>
        <v>0</v>
      </c>
    </row>
    <row r="18" spans="1:23" s="5" customFormat="1" ht="26.25" customHeight="1" thickBot="1" x14ac:dyDescent="0.3">
      <c r="A18" s="497"/>
      <c r="B18" s="413"/>
      <c r="C18" s="414"/>
      <c r="D18" s="353"/>
      <c r="E18" s="341"/>
      <c r="F18" s="396" t="s">
        <v>30</v>
      </c>
      <c r="G18" s="396"/>
      <c r="H18" s="396"/>
      <c r="I18" s="396"/>
      <c r="J18" s="397"/>
      <c r="K18" s="19">
        <f>SUM(K15:K17)</f>
        <v>14611050</v>
      </c>
      <c r="L18" s="365" t="s">
        <v>30</v>
      </c>
      <c r="M18" s="366"/>
      <c r="N18" s="20">
        <f>SUM(N15:N17)</f>
        <v>0</v>
      </c>
      <c r="O18" s="344"/>
      <c r="P18" s="453"/>
      <c r="Q18" s="454"/>
      <c r="R18" s="454"/>
      <c r="S18" s="454"/>
      <c r="T18" s="491"/>
    </row>
    <row r="19" spans="1:23" s="5" customFormat="1" ht="26.25" customHeight="1" x14ac:dyDescent="0.25">
      <c r="A19" s="497"/>
      <c r="B19" s="415"/>
      <c r="C19" s="416"/>
      <c r="D19" s="387" t="s">
        <v>31</v>
      </c>
      <c r="E19" s="390">
        <v>2055</v>
      </c>
      <c r="F19" s="51" t="s">
        <v>23</v>
      </c>
      <c r="G19" s="192"/>
      <c r="H19" s="52">
        <v>2055</v>
      </c>
      <c r="I19" s="53">
        <v>75</v>
      </c>
      <c r="J19" s="49">
        <v>7.9</v>
      </c>
      <c r="K19" s="50">
        <f>H19*I19*J19*12</f>
        <v>14611050</v>
      </c>
      <c r="L19" s="169">
        <v>350</v>
      </c>
      <c r="M19" s="39">
        <v>15.25</v>
      </c>
      <c r="N19" s="40">
        <f>L19*M19*H19</f>
        <v>10968562.5</v>
      </c>
      <c r="O19" s="342">
        <f>K22+N22</f>
        <v>25579612.5</v>
      </c>
      <c r="P19" s="170" t="s">
        <v>24</v>
      </c>
      <c r="Q19" s="50">
        <f>K22-Q20</f>
        <v>13880497.5</v>
      </c>
      <c r="R19" s="233">
        <v>0</v>
      </c>
      <c r="S19" s="50">
        <f>T19-T3</f>
        <v>9544872</v>
      </c>
      <c r="T19" s="263">
        <f>Q19-R19</f>
        <v>13880497.5</v>
      </c>
    </row>
    <row r="20" spans="1:23" s="5" customFormat="1" ht="26.25" customHeight="1" x14ac:dyDescent="0.25">
      <c r="A20" s="497"/>
      <c r="B20" s="411"/>
      <c r="C20" s="417"/>
      <c r="D20" s="388"/>
      <c r="E20" s="391"/>
      <c r="F20" s="10" t="s">
        <v>25</v>
      </c>
      <c r="G20" s="194"/>
      <c r="H20" s="15"/>
      <c r="I20" s="25"/>
      <c r="J20" s="21"/>
      <c r="K20" s="17"/>
      <c r="L20" s="14"/>
      <c r="M20" s="22"/>
      <c r="N20" s="18"/>
      <c r="O20" s="343"/>
      <c r="P20" s="180" t="s">
        <v>130</v>
      </c>
      <c r="Q20" s="161">
        <f>K22*0.05</f>
        <v>730552.5</v>
      </c>
      <c r="R20" s="234"/>
      <c r="S20" s="161">
        <f>Q20-S4</f>
        <v>730552.5</v>
      </c>
      <c r="T20" s="264">
        <f>R20-T4</f>
        <v>0</v>
      </c>
    </row>
    <row r="21" spans="1:23" s="5" customFormat="1" ht="26.25" customHeight="1" x14ac:dyDescent="0.25">
      <c r="A21" s="497"/>
      <c r="B21" s="411"/>
      <c r="C21" s="417"/>
      <c r="D21" s="388"/>
      <c r="E21" s="391"/>
      <c r="F21" s="10" t="s">
        <v>28</v>
      </c>
      <c r="G21" s="182"/>
      <c r="H21" s="15"/>
      <c r="I21" s="25"/>
      <c r="J21" s="21"/>
      <c r="K21" s="17"/>
      <c r="L21" s="14"/>
      <c r="M21" s="22"/>
      <c r="N21" s="18"/>
      <c r="O21" s="343"/>
      <c r="P21" s="189" t="s">
        <v>29</v>
      </c>
      <c r="Q21" s="18">
        <f>N22</f>
        <v>10968562.5</v>
      </c>
      <c r="R21" s="235"/>
      <c r="S21" s="18">
        <f>Q21-S5</f>
        <v>10968562.5</v>
      </c>
      <c r="T21" s="265">
        <f>R21-T5</f>
        <v>0</v>
      </c>
    </row>
    <row r="22" spans="1:23" s="5" customFormat="1" ht="26.25" customHeight="1" thickBot="1" x14ac:dyDescent="0.3">
      <c r="A22" s="498"/>
      <c r="B22" s="505"/>
      <c r="C22" s="506"/>
      <c r="D22" s="507"/>
      <c r="E22" s="508"/>
      <c r="F22" s="510" t="s">
        <v>30</v>
      </c>
      <c r="G22" s="511"/>
      <c r="H22" s="511"/>
      <c r="I22" s="511"/>
      <c r="J22" s="512"/>
      <c r="K22" s="260">
        <f>SUM(K19:K21)</f>
        <v>14611050</v>
      </c>
      <c r="L22" s="513" t="s">
        <v>30</v>
      </c>
      <c r="M22" s="514"/>
      <c r="N22" s="261">
        <f>SUM(N19:N21)</f>
        <v>10968562.5</v>
      </c>
      <c r="O22" s="509"/>
      <c r="P22" s="492"/>
      <c r="Q22" s="493"/>
      <c r="R22" s="493"/>
      <c r="S22" s="493"/>
      <c r="T22" s="494"/>
    </row>
    <row r="23" spans="1:23" s="5" customFormat="1" ht="11.25" customHeight="1" x14ac:dyDescent="0.25">
      <c r="A23" s="495"/>
      <c r="B23" s="496"/>
      <c r="C23" s="496"/>
      <c r="D23" s="496"/>
      <c r="E23" s="496"/>
      <c r="F23" s="496"/>
      <c r="G23" s="496"/>
      <c r="H23" s="496"/>
      <c r="I23" s="496"/>
      <c r="J23" s="496"/>
      <c r="K23" s="496"/>
      <c r="L23" s="496"/>
      <c r="M23" s="496"/>
      <c r="N23" s="496"/>
      <c r="O23" s="496"/>
      <c r="P23" s="496"/>
      <c r="Q23" s="496"/>
      <c r="R23" s="496"/>
      <c r="S23" s="496"/>
      <c r="T23" s="496"/>
    </row>
    <row r="24" spans="1:23" s="5" customFormat="1" ht="90.75" customHeight="1" thickBot="1" x14ac:dyDescent="0.3">
      <c r="A24" s="398" t="s">
        <v>32</v>
      </c>
      <c r="B24" s="462" t="s">
        <v>2</v>
      </c>
      <c r="C24" s="462"/>
      <c r="D24" s="33" t="s">
        <v>3</v>
      </c>
      <c r="E24" s="60" t="s">
        <v>8</v>
      </c>
      <c r="F24" s="60" t="s">
        <v>9</v>
      </c>
      <c r="G24" s="60" t="s">
        <v>10</v>
      </c>
      <c r="H24" s="60" t="s">
        <v>11</v>
      </c>
      <c r="I24" s="61" t="s">
        <v>12</v>
      </c>
      <c r="J24" s="61" t="s">
        <v>13</v>
      </c>
      <c r="K24" s="61" t="s">
        <v>14</v>
      </c>
      <c r="L24" s="61" t="s">
        <v>15</v>
      </c>
      <c r="M24" s="61" t="s">
        <v>16</v>
      </c>
      <c r="N24" s="60" t="s">
        <v>14</v>
      </c>
      <c r="O24" s="60" t="s">
        <v>17</v>
      </c>
      <c r="P24" s="61" t="s">
        <v>18</v>
      </c>
      <c r="Q24" s="61" t="s">
        <v>19</v>
      </c>
      <c r="R24" s="61"/>
      <c r="S24" s="61" t="s">
        <v>20</v>
      </c>
      <c r="T24" s="9"/>
    </row>
    <row r="25" spans="1:23" s="5" customFormat="1" ht="27" customHeight="1" x14ac:dyDescent="0.25">
      <c r="A25" s="399"/>
      <c r="B25" s="373" t="s">
        <v>33</v>
      </c>
      <c r="C25" s="384" t="s">
        <v>33</v>
      </c>
      <c r="D25" s="351">
        <v>2023</v>
      </c>
      <c r="E25" s="339">
        <v>2850</v>
      </c>
      <c r="F25" s="62" t="s">
        <v>23</v>
      </c>
      <c r="G25" s="70">
        <v>0.5</v>
      </c>
      <c r="H25" s="69">
        <f>E25*G25</f>
        <v>1425</v>
      </c>
      <c r="I25" s="71">
        <v>200</v>
      </c>
      <c r="J25" s="86">
        <v>5.7</v>
      </c>
      <c r="K25" s="83">
        <f>H25*I25*J25*12</f>
        <v>19494000</v>
      </c>
      <c r="L25" s="73"/>
      <c r="M25" s="73"/>
      <c r="N25" s="74"/>
      <c r="O25" s="438">
        <f>K27</f>
        <v>36252000</v>
      </c>
      <c r="P25" s="170" t="s">
        <v>24</v>
      </c>
      <c r="Q25" s="83">
        <f>K27-Q26</f>
        <v>31539240</v>
      </c>
      <c r="R25" s="236"/>
      <c r="S25" s="102"/>
      <c r="T25" s="9"/>
    </row>
    <row r="26" spans="1:23" s="5" customFormat="1" ht="27" customHeight="1" x14ac:dyDescent="0.25">
      <c r="A26" s="399"/>
      <c r="B26" s="337"/>
      <c r="C26" s="385"/>
      <c r="D26" s="352"/>
      <c r="E26" s="340"/>
      <c r="F26" s="32" t="s">
        <v>25</v>
      </c>
      <c r="G26" s="76">
        <v>0.5</v>
      </c>
      <c r="H26" s="75">
        <f>E25*G26</f>
        <v>1425</v>
      </c>
      <c r="I26" s="77">
        <v>200</v>
      </c>
      <c r="J26" s="87">
        <v>4.9000000000000004</v>
      </c>
      <c r="K26" s="84">
        <f>H26*I26*J26*12</f>
        <v>16758000</v>
      </c>
      <c r="L26" s="79"/>
      <c r="M26" s="79"/>
      <c r="N26" s="80"/>
      <c r="O26" s="439"/>
      <c r="P26" s="180" t="s">
        <v>34</v>
      </c>
      <c r="Q26" s="152">
        <f>K27*0.13</f>
        <v>4712760</v>
      </c>
      <c r="R26" s="237"/>
      <c r="S26" s="103"/>
      <c r="T26" s="9"/>
    </row>
    <row r="27" spans="1:23" s="5" customFormat="1" ht="27" customHeight="1" thickBot="1" x14ac:dyDescent="0.3">
      <c r="A27" s="399"/>
      <c r="B27" s="463"/>
      <c r="C27" s="386"/>
      <c r="D27" s="353"/>
      <c r="E27" s="341"/>
      <c r="F27" s="441" t="s">
        <v>30</v>
      </c>
      <c r="G27" s="441"/>
      <c r="H27" s="441"/>
      <c r="I27" s="441"/>
      <c r="J27" s="441"/>
      <c r="K27" s="85">
        <f>K25+K26</f>
        <v>36252000</v>
      </c>
      <c r="L27" s="81"/>
      <c r="M27" s="81"/>
      <c r="N27" s="82"/>
      <c r="O27" s="440"/>
      <c r="P27" s="189" t="s">
        <v>29</v>
      </c>
      <c r="Q27" s="104">
        <v>0</v>
      </c>
      <c r="R27" s="238"/>
      <c r="S27" s="105">
        <v>0</v>
      </c>
      <c r="T27" s="9"/>
    </row>
    <row r="28" spans="1:23" s="5" customFormat="1" ht="27" customHeight="1" x14ac:dyDescent="0.25">
      <c r="A28" s="399"/>
      <c r="B28" s="430" t="s">
        <v>35</v>
      </c>
      <c r="C28" s="91">
        <v>36000</v>
      </c>
      <c r="D28" s="377">
        <v>2024</v>
      </c>
      <c r="E28" s="379">
        <v>2850</v>
      </c>
      <c r="F28" s="62" t="s">
        <v>23</v>
      </c>
      <c r="G28" s="70">
        <v>0.5</v>
      </c>
      <c r="H28" s="92">
        <f>E28*G28</f>
        <v>1425</v>
      </c>
      <c r="I28" s="71">
        <v>200</v>
      </c>
      <c r="J28" s="86">
        <v>5.7</v>
      </c>
      <c r="K28" s="93">
        <f>H28*I28*J28*12</f>
        <v>19494000</v>
      </c>
      <c r="L28" s="94"/>
      <c r="M28" s="94"/>
      <c r="N28" s="63"/>
      <c r="O28" s="393">
        <f>K30</f>
        <v>36252000</v>
      </c>
      <c r="P28" s="170" t="s">
        <v>24</v>
      </c>
      <c r="Q28" s="83">
        <f>K30-Q29</f>
        <v>32989320</v>
      </c>
      <c r="R28" s="236"/>
      <c r="S28" s="102">
        <f>Q25-Q28</f>
        <v>-1450080</v>
      </c>
      <c r="T28" s="9"/>
      <c r="W28" s="155"/>
    </row>
    <row r="29" spans="1:23" s="5" customFormat="1" ht="27" customHeight="1" x14ac:dyDescent="0.25">
      <c r="A29" s="399"/>
      <c r="B29" s="431"/>
      <c r="C29" s="432">
        <v>54726050</v>
      </c>
      <c r="D29" s="378"/>
      <c r="E29" s="380"/>
      <c r="F29" s="32" t="s">
        <v>25</v>
      </c>
      <c r="G29" s="76">
        <v>0.5</v>
      </c>
      <c r="H29" s="89">
        <f>G29*E28</f>
        <v>1425</v>
      </c>
      <c r="I29" s="77">
        <v>200</v>
      </c>
      <c r="J29" s="87">
        <v>4.9000000000000004</v>
      </c>
      <c r="K29" s="90">
        <f>H29*I29*J29*12</f>
        <v>16758000</v>
      </c>
      <c r="L29" s="31"/>
      <c r="M29" s="31"/>
      <c r="N29" s="30"/>
      <c r="O29" s="394"/>
      <c r="P29" s="180" t="s">
        <v>36</v>
      </c>
      <c r="Q29" s="106">
        <f>K30*0.09</f>
        <v>3262680</v>
      </c>
      <c r="R29" s="162"/>
      <c r="S29" s="103"/>
      <c r="T29" s="156"/>
      <c r="W29" s="155"/>
    </row>
    <row r="30" spans="1:23" s="5" customFormat="1" ht="27" customHeight="1" thickBot="1" x14ac:dyDescent="0.3">
      <c r="A30" s="399"/>
      <c r="B30" s="431"/>
      <c r="C30" s="433"/>
      <c r="D30" s="378"/>
      <c r="E30" s="381"/>
      <c r="F30" s="434" t="s">
        <v>30</v>
      </c>
      <c r="G30" s="434"/>
      <c r="H30" s="434"/>
      <c r="I30" s="434"/>
      <c r="J30" s="434"/>
      <c r="K30" s="85">
        <f>K28+K29</f>
        <v>36252000</v>
      </c>
      <c r="L30" s="68"/>
      <c r="M30" s="68"/>
      <c r="N30" s="67"/>
      <c r="O30" s="395"/>
      <c r="P30" s="189" t="s">
        <v>29</v>
      </c>
      <c r="Q30" s="104">
        <v>0</v>
      </c>
      <c r="R30" s="238"/>
      <c r="S30" s="105">
        <v>0</v>
      </c>
      <c r="T30" s="9"/>
    </row>
    <row r="31" spans="1:23" s="5" customFormat="1" ht="27" customHeight="1" x14ac:dyDescent="0.25">
      <c r="A31" s="399"/>
      <c r="B31" s="426"/>
      <c r="C31" s="427"/>
      <c r="D31" s="377">
        <v>2025</v>
      </c>
      <c r="E31" s="444">
        <v>2950</v>
      </c>
      <c r="F31" s="62" t="s">
        <v>23</v>
      </c>
      <c r="G31" s="70">
        <v>0.5</v>
      </c>
      <c r="H31" s="92">
        <f>E31*G31</f>
        <v>1475</v>
      </c>
      <c r="I31" s="72">
        <v>200</v>
      </c>
      <c r="J31" s="86">
        <v>5.7</v>
      </c>
      <c r="K31" s="83">
        <f>H31*I31*J31*12</f>
        <v>20178000</v>
      </c>
      <c r="L31" s="94"/>
      <c r="M31" s="94"/>
      <c r="N31" s="63"/>
      <c r="O31" s="393">
        <f>K33</f>
        <v>37524000</v>
      </c>
      <c r="P31" s="170" t="s">
        <v>24</v>
      </c>
      <c r="Q31" s="83">
        <f>K33-Q32</f>
        <v>34146840</v>
      </c>
      <c r="R31" s="236"/>
      <c r="S31" s="102">
        <f>Q25-Q31</f>
        <v>-2607600</v>
      </c>
      <c r="T31" s="9"/>
    </row>
    <row r="32" spans="1:23" s="5" customFormat="1" ht="27" customHeight="1" x14ac:dyDescent="0.25">
      <c r="A32" s="399"/>
      <c r="B32" s="424"/>
      <c r="C32" s="425"/>
      <c r="D32" s="442"/>
      <c r="E32" s="381"/>
      <c r="F32" s="32" t="s">
        <v>25</v>
      </c>
      <c r="G32" s="76">
        <v>0.5</v>
      </c>
      <c r="H32" s="89">
        <f>G32*E31</f>
        <v>1475</v>
      </c>
      <c r="I32" s="78">
        <v>200</v>
      </c>
      <c r="J32" s="87">
        <v>4.9000000000000004</v>
      </c>
      <c r="K32" s="84">
        <f>H32*I32*J32*12</f>
        <v>17346000</v>
      </c>
      <c r="L32" s="31"/>
      <c r="M32" s="31"/>
      <c r="N32" s="30"/>
      <c r="O32" s="394"/>
      <c r="P32" s="180" t="s">
        <v>36</v>
      </c>
      <c r="Q32" s="106">
        <f>K33*0.09</f>
        <v>3377160</v>
      </c>
      <c r="R32" s="162"/>
      <c r="S32" s="103"/>
      <c r="T32" s="9"/>
    </row>
    <row r="33" spans="1:24" s="5" customFormat="1" ht="27" customHeight="1" thickBot="1" x14ac:dyDescent="0.3">
      <c r="A33" s="399"/>
      <c r="B33" s="428"/>
      <c r="C33" s="429"/>
      <c r="D33" s="443"/>
      <c r="E33" s="445"/>
      <c r="F33" s="435" t="s">
        <v>30</v>
      </c>
      <c r="G33" s="435"/>
      <c r="H33" s="435"/>
      <c r="I33" s="435"/>
      <c r="J33" s="435"/>
      <c r="K33" s="88">
        <f>K31+K32</f>
        <v>37524000</v>
      </c>
      <c r="L33" s="66"/>
      <c r="M33" s="66"/>
      <c r="N33" s="64"/>
      <c r="O33" s="436"/>
      <c r="P33" s="189" t="s">
        <v>29</v>
      </c>
      <c r="Q33" s="107">
        <f>N37</f>
        <v>0</v>
      </c>
      <c r="R33" s="239"/>
      <c r="S33" s="108">
        <f>Q33-Q30</f>
        <v>0</v>
      </c>
      <c r="T33" s="9"/>
    </row>
    <row r="34" spans="1:24" s="5" customFormat="1" ht="27" customHeight="1" x14ac:dyDescent="0.25">
      <c r="A34" s="399"/>
      <c r="B34" s="424"/>
      <c r="C34" s="425"/>
      <c r="D34" s="442">
        <v>2026</v>
      </c>
      <c r="E34" s="381">
        <v>3200</v>
      </c>
      <c r="F34" s="95" t="s">
        <v>23</v>
      </c>
      <c r="G34" s="96">
        <v>0.5</v>
      </c>
      <c r="H34" s="97">
        <f>G34*E34</f>
        <v>1600</v>
      </c>
      <c r="I34" s="98">
        <v>200</v>
      </c>
      <c r="J34" s="99">
        <v>5.7</v>
      </c>
      <c r="K34" s="100">
        <f>H34*I34*J34*12</f>
        <v>21888000</v>
      </c>
      <c r="L34" s="101"/>
      <c r="M34" s="101"/>
      <c r="N34" s="65"/>
      <c r="O34" s="437">
        <f>K36</f>
        <v>40704000</v>
      </c>
      <c r="P34" s="170" t="s">
        <v>24</v>
      </c>
      <c r="Q34" s="100">
        <f>K36-Q35</f>
        <v>37040640</v>
      </c>
      <c r="R34" s="240"/>
      <c r="S34" s="109">
        <f>Q25-Q34</f>
        <v>-5501400</v>
      </c>
      <c r="T34" s="9"/>
    </row>
    <row r="35" spans="1:24" s="5" customFormat="1" ht="27" customHeight="1" x14ac:dyDescent="0.25">
      <c r="A35" s="399"/>
      <c r="B35" s="424"/>
      <c r="C35" s="425"/>
      <c r="D35" s="442"/>
      <c r="E35" s="381"/>
      <c r="F35" s="32" t="s">
        <v>25</v>
      </c>
      <c r="G35" s="76">
        <v>0.5</v>
      </c>
      <c r="H35" s="89">
        <f>G35*E34</f>
        <v>1600</v>
      </c>
      <c r="I35" s="78">
        <v>200</v>
      </c>
      <c r="J35" s="87">
        <v>4.9000000000000004</v>
      </c>
      <c r="K35" s="84">
        <f>H35*I35*J35*12</f>
        <v>18816000</v>
      </c>
      <c r="L35" s="31"/>
      <c r="M35" s="31"/>
      <c r="N35" s="30"/>
      <c r="O35" s="394"/>
      <c r="P35" s="180" t="s">
        <v>36</v>
      </c>
      <c r="Q35" s="106">
        <f>K36*0.09</f>
        <v>3663360</v>
      </c>
      <c r="R35" s="162"/>
      <c r="S35" s="103"/>
      <c r="T35" s="9"/>
    </row>
    <row r="36" spans="1:24" s="5" customFormat="1" ht="27" customHeight="1" thickBot="1" x14ac:dyDescent="0.3">
      <c r="A36" s="399"/>
      <c r="B36" s="424"/>
      <c r="C36" s="425"/>
      <c r="D36" s="442"/>
      <c r="E36" s="381"/>
      <c r="F36" s="441" t="s">
        <v>30</v>
      </c>
      <c r="G36" s="441"/>
      <c r="H36" s="441"/>
      <c r="I36" s="441"/>
      <c r="J36" s="441"/>
      <c r="K36" s="85">
        <f>K34+K35</f>
        <v>40704000</v>
      </c>
      <c r="L36" s="68"/>
      <c r="M36" s="68"/>
      <c r="N36" s="67"/>
      <c r="O36" s="395"/>
      <c r="P36" s="195" t="s">
        <v>29</v>
      </c>
      <c r="Q36" s="104">
        <v>0</v>
      </c>
      <c r="R36" s="238"/>
      <c r="S36" s="105">
        <v>0</v>
      </c>
      <c r="T36" s="9"/>
    </row>
    <row r="37" spans="1:24" s="5" customFormat="1" ht="27" customHeight="1" x14ac:dyDescent="0.25">
      <c r="A37" s="399"/>
      <c r="B37" s="426"/>
      <c r="C37" s="427"/>
      <c r="D37" s="377" t="s">
        <v>31</v>
      </c>
      <c r="E37" s="444">
        <v>3270</v>
      </c>
      <c r="F37" s="62" t="s">
        <v>23</v>
      </c>
      <c r="G37" s="70">
        <v>0.5</v>
      </c>
      <c r="H37" s="92">
        <f>E37*G37</f>
        <v>1635</v>
      </c>
      <c r="I37" s="72">
        <v>200</v>
      </c>
      <c r="J37" s="86">
        <v>5.7</v>
      </c>
      <c r="K37" s="83">
        <f>H37*I37*J37*12</f>
        <v>22366800</v>
      </c>
      <c r="L37" s="94"/>
      <c r="M37" s="94"/>
      <c r="N37" s="63"/>
      <c r="O37" s="393">
        <f>K39</f>
        <v>41594400</v>
      </c>
      <c r="P37" s="170" t="s">
        <v>24</v>
      </c>
      <c r="Q37" s="83">
        <f>K39-Q38</f>
        <v>37850904</v>
      </c>
      <c r="R37" s="236"/>
      <c r="S37" s="102">
        <f>Q25-Q37</f>
        <v>-6311664</v>
      </c>
      <c r="T37" s="9"/>
    </row>
    <row r="38" spans="1:24" s="5" customFormat="1" ht="27" customHeight="1" x14ac:dyDescent="0.25">
      <c r="A38" s="399"/>
      <c r="B38" s="424"/>
      <c r="C38" s="425"/>
      <c r="D38" s="442"/>
      <c r="E38" s="381"/>
      <c r="F38" s="32" t="s">
        <v>25</v>
      </c>
      <c r="G38" s="76">
        <v>0.5</v>
      </c>
      <c r="H38" s="89">
        <f>G38*E37</f>
        <v>1635</v>
      </c>
      <c r="I38" s="78">
        <v>200</v>
      </c>
      <c r="J38" s="87">
        <v>4.9000000000000004</v>
      </c>
      <c r="K38" s="84">
        <f>H38*I38*J38*12</f>
        <v>19227600</v>
      </c>
      <c r="L38" s="31"/>
      <c r="M38" s="31"/>
      <c r="N38" s="30"/>
      <c r="O38" s="394"/>
      <c r="P38" s="180" t="s">
        <v>36</v>
      </c>
      <c r="Q38" s="106">
        <f>K39*0.09</f>
        <v>3743496</v>
      </c>
      <c r="R38" s="162"/>
      <c r="S38" s="103"/>
      <c r="T38" s="9"/>
    </row>
    <row r="39" spans="1:24" s="5" customFormat="1" ht="27" customHeight="1" thickBot="1" x14ac:dyDescent="0.3">
      <c r="A39" s="400"/>
      <c r="B39" s="428"/>
      <c r="C39" s="429"/>
      <c r="D39" s="443"/>
      <c r="E39" s="445"/>
      <c r="F39" s="435" t="s">
        <v>30</v>
      </c>
      <c r="G39" s="435"/>
      <c r="H39" s="435"/>
      <c r="I39" s="435"/>
      <c r="J39" s="435"/>
      <c r="K39" s="88">
        <f>K37+K38</f>
        <v>41594400</v>
      </c>
      <c r="L39" s="66"/>
      <c r="M39" s="66"/>
      <c r="N39" s="64"/>
      <c r="O39" s="436"/>
      <c r="P39" s="196" t="s">
        <v>29</v>
      </c>
      <c r="Q39" s="107">
        <v>0</v>
      </c>
      <c r="R39" s="239"/>
      <c r="S39" s="108">
        <f>Q39-Q36</f>
        <v>0</v>
      </c>
    </row>
    <row r="40" spans="1:24" s="5" customFormat="1" ht="11.25" customHeight="1" x14ac:dyDescent="0.25">
      <c r="A40" s="448"/>
      <c r="B40" s="449"/>
      <c r="C40" s="449"/>
      <c r="D40" s="449"/>
      <c r="E40" s="449"/>
      <c r="F40" s="449"/>
      <c r="G40" s="449"/>
      <c r="H40" s="449"/>
      <c r="I40" s="449"/>
      <c r="J40" s="449"/>
      <c r="K40" s="449"/>
      <c r="L40" s="449"/>
      <c r="M40" s="449"/>
      <c r="N40" s="449"/>
      <c r="O40" s="449"/>
      <c r="P40" s="449"/>
      <c r="Q40" s="449"/>
      <c r="R40" s="449"/>
      <c r="S40" s="449"/>
    </row>
    <row r="41" spans="1:24" s="5" customFormat="1" ht="72" x14ac:dyDescent="0.25">
      <c r="A41" s="382" t="s">
        <v>37</v>
      </c>
      <c r="B41" s="471" t="s">
        <v>38</v>
      </c>
      <c r="C41" s="471"/>
      <c r="D41" s="29" t="s">
        <v>3</v>
      </c>
      <c r="E41" s="110" t="s">
        <v>39</v>
      </c>
      <c r="F41" s="466"/>
      <c r="G41" s="114" t="s">
        <v>40</v>
      </c>
      <c r="H41" s="114" t="s">
        <v>41</v>
      </c>
      <c r="I41" s="114" t="s">
        <v>14</v>
      </c>
      <c r="J41" s="115" t="s">
        <v>42</v>
      </c>
      <c r="K41" s="115" t="s">
        <v>43</v>
      </c>
      <c r="L41" s="115" t="s">
        <v>153</v>
      </c>
      <c r="M41" s="116" t="s">
        <v>154</v>
      </c>
      <c r="N41" s="115" t="s">
        <v>14</v>
      </c>
      <c r="O41" s="117" t="s">
        <v>45</v>
      </c>
      <c r="P41" s="61" t="s">
        <v>18</v>
      </c>
      <c r="Q41" s="61" t="s">
        <v>19</v>
      </c>
      <c r="R41" s="61"/>
      <c r="S41" s="61" t="s">
        <v>20</v>
      </c>
      <c r="T41" s="9"/>
    </row>
    <row r="42" spans="1:24" s="5" customFormat="1" ht="27" customHeight="1" x14ac:dyDescent="0.25">
      <c r="A42" s="382"/>
      <c r="B42" s="475"/>
      <c r="C42" s="475"/>
      <c r="D42" s="352">
        <v>2023</v>
      </c>
      <c r="E42" s="461">
        <v>14134</v>
      </c>
      <c r="F42" s="467"/>
      <c r="G42" s="474">
        <f>E42</f>
        <v>14134</v>
      </c>
      <c r="H42" s="470">
        <v>1300</v>
      </c>
      <c r="I42" s="470">
        <f>G42*H42*12</f>
        <v>220490400</v>
      </c>
      <c r="J42" s="326">
        <v>6165</v>
      </c>
      <c r="K42" s="326">
        <v>27379</v>
      </c>
      <c r="L42" s="326">
        <v>4</v>
      </c>
      <c r="M42" s="327">
        <v>765</v>
      </c>
      <c r="N42" s="328">
        <f>K42*L42*M42</f>
        <v>83779740</v>
      </c>
      <c r="O42" s="323">
        <f>I42</f>
        <v>220490400</v>
      </c>
      <c r="P42" s="244" t="s">
        <v>24</v>
      </c>
      <c r="Q42" s="17">
        <f>I42-Q43</f>
        <v>158753088</v>
      </c>
      <c r="R42" s="17"/>
      <c r="S42" s="247">
        <v>0</v>
      </c>
      <c r="T42" s="9"/>
    </row>
    <row r="43" spans="1:24" s="5" customFormat="1" ht="27" customHeight="1" x14ac:dyDescent="0.25">
      <c r="A43" s="382"/>
      <c r="B43" s="475"/>
      <c r="C43" s="475"/>
      <c r="D43" s="352"/>
      <c r="E43" s="461"/>
      <c r="F43" s="467"/>
      <c r="G43" s="474"/>
      <c r="H43" s="470"/>
      <c r="I43" s="470"/>
      <c r="J43" s="326"/>
      <c r="K43" s="326"/>
      <c r="L43" s="326"/>
      <c r="M43" s="327"/>
      <c r="N43" s="328"/>
      <c r="O43" s="324"/>
      <c r="P43" s="245" t="s">
        <v>132</v>
      </c>
      <c r="Q43" s="161">
        <f>I42*0.28</f>
        <v>61737312.000000007</v>
      </c>
      <c r="R43" s="161"/>
      <c r="S43" s="248">
        <v>0</v>
      </c>
      <c r="T43" s="165"/>
    </row>
    <row r="44" spans="1:24" s="5" customFormat="1" ht="27" customHeight="1" x14ac:dyDescent="0.25">
      <c r="A44" s="382"/>
      <c r="B44" s="475"/>
      <c r="C44" s="475"/>
      <c r="D44" s="352"/>
      <c r="E44" s="461"/>
      <c r="F44" s="467"/>
      <c r="G44" s="474"/>
      <c r="H44" s="470"/>
      <c r="I44" s="470"/>
      <c r="J44" s="326"/>
      <c r="K44" s="326"/>
      <c r="L44" s="326"/>
      <c r="M44" s="327"/>
      <c r="N44" s="328"/>
      <c r="O44" s="325"/>
      <c r="P44" s="246" t="s">
        <v>29</v>
      </c>
      <c r="Q44" s="18">
        <f>N42</f>
        <v>83779740</v>
      </c>
      <c r="R44" s="18"/>
      <c r="S44" s="249">
        <v>0</v>
      </c>
      <c r="T44" s="9"/>
    </row>
    <row r="45" spans="1:24" s="5" customFormat="1" ht="27" customHeight="1" x14ac:dyDescent="0.25">
      <c r="A45" s="382"/>
      <c r="B45" s="473" t="s">
        <v>46</v>
      </c>
      <c r="C45" s="473"/>
      <c r="D45" s="353">
        <v>2024</v>
      </c>
      <c r="E45" s="456">
        <v>14134</v>
      </c>
      <c r="F45" s="467"/>
      <c r="G45" s="469">
        <f>E45</f>
        <v>14134</v>
      </c>
      <c r="H45" s="460">
        <v>1300</v>
      </c>
      <c r="I45" s="460">
        <f>G45*H45*12</f>
        <v>220490400</v>
      </c>
      <c r="J45" s="329">
        <v>6165</v>
      </c>
      <c r="K45" s="329">
        <f>K42*J45/J42</f>
        <v>27379</v>
      </c>
      <c r="L45" s="464">
        <v>4</v>
      </c>
      <c r="M45" s="465">
        <v>765</v>
      </c>
      <c r="N45" s="328">
        <f t="shared" ref="N45" si="0">K45*L45*M45</f>
        <v>83779740</v>
      </c>
      <c r="O45" s="376">
        <f>I45</f>
        <v>220490400</v>
      </c>
      <c r="P45" s="244" t="s">
        <v>24</v>
      </c>
      <c r="Q45" s="17">
        <f>I45-Q46</f>
        <v>165367800</v>
      </c>
      <c r="R45" s="17"/>
      <c r="S45" s="247">
        <f>Q42-Q45</f>
        <v>-6614712</v>
      </c>
      <c r="T45" s="9"/>
      <c r="X45" s="155"/>
    </row>
    <row r="46" spans="1:24" s="5" customFormat="1" ht="27" customHeight="1" x14ac:dyDescent="0.25">
      <c r="A46" s="382"/>
      <c r="B46" s="473"/>
      <c r="C46" s="473"/>
      <c r="D46" s="442"/>
      <c r="E46" s="457"/>
      <c r="F46" s="467"/>
      <c r="G46" s="469"/>
      <c r="H46" s="460"/>
      <c r="I46" s="460"/>
      <c r="J46" s="329"/>
      <c r="K46" s="329"/>
      <c r="L46" s="464"/>
      <c r="M46" s="465"/>
      <c r="N46" s="328"/>
      <c r="O46" s="376"/>
      <c r="P46" s="245" t="s">
        <v>133</v>
      </c>
      <c r="Q46" s="161">
        <f>I45*0.25</f>
        <v>55122600</v>
      </c>
      <c r="R46" s="161"/>
      <c r="S46" s="248">
        <f>Q46-Q43</f>
        <v>-6614712.0000000075</v>
      </c>
      <c r="T46" s="165"/>
      <c r="X46" s="157"/>
    </row>
    <row r="47" spans="1:24" s="5" customFormat="1" ht="27" customHeight="1" x14ac:dyDescent="0.25">
      <c r="A47" s="382"/>
      <c r="B47" s="473"/>
      <c r="C47" s="473"/>
      <c r="D47" s="459"/>
      <c r="E47" s="458"/>
      <c r="F47" s="467"/>
      <c r="G47" s="469"/>
      <c r="H47" s="460"/>
      <c r="I47" s="460"/>
      <c r="J47" s="329"/>
      <c r="K47" s="329"/>
      <c r="L47" s="464"/>
      <c r="M47" s="465"/>
      <c r="N47" s="328"/>
      <c r="O47" s="376"/>
      <c r="P47" s="246" t="s">
        <v>29</v>
      </c>
      <c r="Q47" s="18">
        <f>N45</f>
        <v>83779740</v>
      </c>
      <c r="R47" s="18"/>
      <c r="S47" s="250">
        <f>Q44-Q47</f>
        <v>0</v>
      </c>
      <c r="T47" s="9"/>
    </row>
    <row r="48" spans="1:24" s="5" customFormat="1" ht="27" customHeight="1" x14ac:dyDescent="0.25">
      <c r="A48" s="382"/>
      <c r="B48" s="472"/>
      <c r="C48" s="472"/>
      <c r="D48" s="353">
        <v>2025</v>
      </c>
      <c r="E48" s="456">
        <v>14134</v>
      </c>
      <c r="F48" s="467"/>
      <c r="G48" s="469">
        <f>E48</f>
        <v>14134</v>
      </c>
      <c r="H48" s="460">
        <v>1300</v>
      </c>
      <c r="I48" s="460">
        <f>G48*H48*12</f>
        <v>220490400</v>
      </c>
      <c r="J48" s="329">
        <f>J45</f>
        <v>6165</v>
      </c>
      <c r="K48" s="329">
        <v>27379</v>
      </c>
      <c r="L48" s="464">
        <v>4</v>
      </c>
      <c r="M48" s="327">
        <v>765</v>
      </c>
      <c r="N48" s="328">
        <f t="shared" ref="N48" si="1">K48*L48*M48</f>
        <v>83779740</v>
      </c>
      <c r="O48" s="376">
        <f>I48</f>
        <v>220490400</v>
      </c>
      <c r="P48" s="112" t="s">
        <v>24</v>
      </c>
      <c r="Q48" s="100">
        <f>I48-Q49</f>
        <v>165367800</v>
      </c>
      <c r="R48" s="100"/>
      <c r="S48" s="84">
        <f>Q42-Q48</f>
        <v>-6614712</v>
      </c>
      <c r="T48" s="9"/>
    </row>
    <row r="49" spans="1:27" s="5" customFormat="1" ht="27" customHeight="1" x14ac:dyDescent="0.25">
      <c r="A49" s="382"/>
      <c r="B49" s="472"/>
      <c r="C49" s="472"/>
      <c r="D49" s="442"/>
      <c r="E49" s="457"/>
      <c r="F49" s="467"/>
      <c r="G49" s="469"/>
      <c r="H49" s="460"/>
      <c r="I49" s="460"/>
      <c r="J49" s="329"/>
      <c r="K49" s="329"/>
      <c r="L49" s="464"/>
      <c r="M49" s="327"/>
      <c r="N49" s="328"/>
      <c r="O49" s="376"/>
      <c r="P49" s="197" t="s">
        <v>133</v>
      </c>
      <c r="Q49" s="106">
        <f>I48*0.25</f>
        <v>55122600</v>
      </c>
      <c r="R49" s="106"/>
      <c r="S49" s="106">
        <f>Q49-Q43</f>
        <v>-6614712.0000000075</v>
      </c>
    </row>
    <row r="50" spans="1:27" s="5" customFormat="1" ht="27" customHeight="1" x14ac:dyDescent="0.25">
      <c r="A50" s="382"/>
      <c r="B50" s="472"/>
      <c r="C50" s="472"/>
      <c r="D50" s="459"/>
      <c r="E50" s="458"/>
      <c r="F50" s="467"/>
      <c r="G50" s="469"/>
      <c r="H50" s="460"/>
      <c r="I50" s="460"/>
      <c r="J50" s="329"/>
      <c r="K50" s="329"/>
      <c r="L50" s="464"/>
      <c r="M50" s="327"/>
      <c r="N50" s="328"/>
      <c r="O50" s="376"/>
      <c r="P50" s="113" t="s">
        <v>29</v>
      </c>
      <c r="Q50" s="111">
        <f>N48</f>
        <v>83779740</v>
      </c>
      <c r="R50" s="111"/>
      <c r="S50" s="111">
        <f>Q44-Q50</f>
        <v>0</v>
      </c>
      <c r="T50" s="9"/>
    </row>
    <row r="51" spans="1:27" s="5" customFormat="1" ht="27" customHeight="1" x14ac:dyDescent="0.25">
      <c r="A51" s="382"/>
      <c r="B51" s="473" t="s">
        <v>47</v>
      </c>
      <c r="C51" s="473"/>
      <c r="D51" s="353">
        <v>2026</v>
      </c>
      <c r="E51" s="456">
        <v>14134</v>
      </c>
      <c r="F51" s="467"/>
      <c r="G51" s="469">
        <f>E51</f>
        <v>14134</v>
      </c>
      <c r="H51" s="460">
        <v>1300</v>
      </c>
      <c r="I51" s="460">
        <f>G51*H51*12</f>
        <v>220490400</v>
      </c>
      <c r="J51" s="329">
        <f t="shared" ref="J51" si="2">J48</f>
        <v>6165</v>
      </c>
      <c r="K51" s="329">
        <v>27379</v>
      </c>
      <c r="L51" s="464">
        <v>4</v>
      </c>
      <c r="M51" s="465">
        <v>765</v>
      </c>
      <c r="N51" s="328">
        <f t="shared" ref="N51" si="3">K51*L51*M51</f>
        <v>83779740</v>
      </c>
      <c r="O51" s="376">
        <f t="shared" ref="O51" si="4">I51</f>
        <v>220490400</v>
      </c>
      <c r="P51" s="112" t="s">
        <v>24</v>
      </c>
      <c r="Q51" s="84">
        <f>I51-Q52</f>
        <v>165367800</v>
      </c>
      <c r="R51" s="84"/>
      <c r="S51" s="84">
        <f>Q42-Q51</f>
        <v>-6614712</v>
      </c>
      <c r="T51" s="9"/>
    </row>
    <row r="52" spans="1:27" s="5" customFormat="1" ht="27" customHeight="1" x14ac:dyDescent="0.25">
      <c r="A52" s="382"/>
      <c r="B52" s="473"/>
      <c r="C52" s="473"/>
      <c r="D52" s="442"/>
      <c r="E52" s="457"/>
      <c r="F52" s="467"/>
      <c r="G52" s="469"/>
      <c r="H52" s="460"/>
      <c r="I52" s="460"/>
      <c r="J52" s="329"/>
      <c r="K52" s="329"/>
      <c r="L52" s="464"/>
      <c r="M52" s="465"/>
      <c r="N52" s="328"/>
      <c r="O52" s="376"/>
      <c r="P52" s="197" t="s">
        <v>133</v>
      </c>
      <c r="Q52" s="106">
        <f>I51*0.25</f>
        <v>55122600</v>
      </c>
      <c r="R52" s="106"/>
      <c r="S52" s="106">
        <f>Q52-Q43</f>
        <v>-6614712.0000000075</v>
      </c>
    </row>
    <row r="53" spans="1:27" s="5" customFormat="1" ht="27" customHeight="1" x14ac:dyDescent="0.25">
      <c r="A53" s="382"/>
      <c r="B53" s="473"/>
      <c r="C53" s="473"/>
      <c r="D53" s="459"/>
      <c r="E53" s="458"/>
      <c r="F53" s="467"/>
      <c r="G53" s="469"/>
      <c r="H53" s="460"/>
      <c r="I53" s="460"/>
      <c r="J53" s="329"/>
      <c r="K53" s="329"/>
      <c r="L53" s="464"/>
      <c r="M53" s="465"/>
      <c r="N53" s="328"/>
      <c r="O53" s="376"/>
      <c r="P53" s="113" t="s">
        <v>29</v>
      </c>
      <c r="Q53" s="111">
        <f>N51</f>
        <v>83779740</v>
      </c>
      <c r="R53" s="111"/>
      <c r="S53" s="111">
        <f>Q44-Q53</f>
        <v>0</v>
      </c>
      <c r="T53" s="9"/>
    </row>
    <row r="54" spans="1:27" s="5" customFormat="1" ht="27" customHeight="1" x14ac:dyDescent="0.25">
      <c r="A54" s="382"/>
      <c r="B54" s="476" t="s">
        <v>48</v>
      </c>
      <c r="C54" s="477"/>
      <c r="D54" s="353" t="s">
        <v>31</v>
      </c>
      <c r="E54" s="456">
        <v>14134</v>
      </c>
      <c r="F54" s="467"/>
      <c r="G54" s="469">
        <f>E54</f>
        <v>14134</v>
      </c>
      <c r="H54" s="460">
        <v>1300</v>
      </c>
      <c r="I54" s="460">
        <f>G54*H54*12</f>
        <v>220490400</v>
      </c>
      <c r="J54" s="329">
        <f t="shared" ref="J54" si="5">J51</f>
        <v>6165</v>
      </c>
      <c r="K54" s="329">
        <v>27379</v>
      </c>
      <c r="L54" s="464">
        <v>4</v>
      </c>
      <c r="M54" s="327">
        <v>765</v>
      </c>
      <c r="N54" s="328">
        <f t="shared" ref="N54" si="6">K54*L54*M54</f>
        <v>83779740</v>
      </c>
      <c r="O54" s="376">
        <f t="shared" ref="O54" si="7">I54</f>
        <v>220490400</v>
      </c>
      <c r="P54" s="112" t="s">
        <v>24</v>
      </c>
      <c r="Q54" s="84">
        <f>I54-Q55</f>
        <v>165367800</v>
      </c>
      <c r="R54" s="84"/>
      <c r="S54" s="84">
        <f>Q42-Q54</f>
        <v>-6614712</v>
      </c>
      <c r="T54" s="9"/>
    </row>
    <row r="55" spans="1:27" s="5" customFormat="1" ht="27" customHeight="1" x14ac:dyDescent="0.25">
      <c r="A55" s="382"/>
      <c r="B55" s="478"/>
      <c r="C55" s="479"/>
      <c r="D55" s="442"/>
      <c r="E55" s="457"/>
      <c r="F55" s="467"/>
      <c r="G55" s="469"/>
      <c r="H55" s="460"/>
      <c r="I55" s="460"/>
      <c r="J55" s="329"/>
      <c r="K55" s="329"/>
      <c r="L55" s="464"/>
      <c r="M55" s="327"/>
      <c r="N55" s="328"/>
      <c r="O55" s="376"/>
      <c r="P55" s="197" t="s">
        <v>133</v>
      </c>
      <c r="Q55" s="106">
        <f>I54*0.25</f>
        <v>55122600</v>
      </c>
      <c r="R55" s="106"/>
      <c r="S55" s="106">
        <f>Q55-Q43</f>
        <v>-6614712.0000000075</v>
      </c>
    </row>
    <row r="56" spans="1:27" s="5" customFormat="1" ht="27" customHeight="1" x14ac:dyDescent="0.25">
      <c r="A56" s="383"/>
      <c r="B56" s="480"/>
      <c r="C56" s="481"/>
      <c r="D56" s="459"/>
      <c r="E56" s="458"/>
      <c r="F56" s="468"/>
      <c r="G56" s="469"/>
      <c r="H56" s="460"/>
      <c r="I56" s="460"/>
      <c r="J56" s="329"/>
      <c r="K56" s="329"/>
      <c r="L56" s="464"/>
      <c r="M56" s="327"/>
      <c r="N56" s="328"/>
      <c r="O56" s="376"/>
      <c r="P56" s="113" t="s">
        <v>29</v>
      </c>
      <c r="Q56" s="111">
        <f>N54</f>
        <v>83779740</v>
      </c>
      <c r="R56" s="111"/>
      <c r="S56" s="111">
        <f>Q44-Q56</f>
        <v>0</v>
      </c>
      <c r="T56" s="9"/>
    </row>
    <row r="57" spans="1:27" s="5" customFormat="1" ht="11.25" customHeight="1" x14ac:dyDescent="0.25">
      <c r="A57" s="374"/>
      <c r="B57" s="375"/>
      <c r="C57" s="375"/>
      <c r="D57" s="375"/>
      <c r="E57" s="375"/>
      <c r="F57" s="375"/>
      <c r="G57" s="375"/>
      <c r="H57" s="375"/>
      <c r="I57" s="375"/>
      <c r="J57" s="375"/>
      <c r="K57" s="375"/>
      <c r="L57" s="375"/>
      <c r="M57" s="375"/>
      <c r="N57" s="375"/>
      <c r="O57" s="375"/>
      <c r="P57" s="375"/>
      <c r="Q57" s="375"/>
      <c r="R57" s="375"/>
      <c r="S57" s="375"/>
      <c r="T57" s="9"/>
    </row>
    <row r="60" spans="1:27" ht="14.4" x14ac:dyDescent="0.3">
      <c r="A60" s="133"/>
      <c r="B60" s="133"/>
      <c r="C60" s="127"/>
      <c r="D60" s="127"/>
      <c r="E60" s="129"/>
      <c r="F60" s="129"/>
      <c r="G60" s="129"/>
      <c r="H60" s="140"/>
      <c r="I60" s="120"/>
      <c r="J60" s="120"/>
      <c r="K60" s="120"/>
      <c r="L60" s="120"/>
      <c r="M60" s="120"/>
      <c r="N60" s="125"/>
      <c r="O60" s="120"/>
      <c r="P60" s="123"/>
      <c r="Q60" s="123"/>
      <c r="R60" s="123"/>
      <c r="S60" s="123"/>
      <c r="T60" s="123"/>
      <c r="U60" s="133"/>
      <c r="V60" s="123"/>
      <c r="W60" s="123"/>
      <c r="X60" s="123"/>
      <c r="Y60" s="123"/>
      <c r="Z60" s="123"/>
      <c r="AA60" s="123"/>
    </row>
    <row r="61" spans="1:27" ht="14.4" x14ac:dyDescent="0.3">
      <c r="A61" s="123"/>
      <c r="B61" s="123"/>
      <c r="C61" s="127"/>
      <c r="D61" s="127"/>
      <c r="E61" s="129"/>
      <c r="F61" s="129"/>
      <c r="G61" s="129"/>
      <c r="H61" s="140"/>
      <c r="I61" s="120"/>
      <c r="J61" s="120"/>
      <c r="K61" s="120"/>
      <c r="L61" s="120"/>
      <c r="M61" s="120"/>
      <c r="N61" s="125"/>
      <c r="O61" s="120"/>
      <c r="P61" s="123"/>
      <c r="Q61" s="123"/>
      <c r="R61" s="123"/>
      <c r="S61" s="123"/>
      <c r="T61" s="123"/>
      <c r="U61" s="123"/>
      <c r="V61" s="123"/>
      <c r="W61" s="123"/>
      <c r="X61" s="123"/>
      <c r="Y61" s="123"/>
      <c r="Z61" s="123"/>
      <c r="AA61" s="123"/>
    </row>
    <row r="62" spans="1:27" ht="14.4" x14ac:dyDescent="0.3">
      <c r="A62" s="123"/>
      <c r="B62" s="123"/>
      <c r="C62" s="123"/>
      <c r="D62" s="121"/>
      <c r="E62" s="120"/>
      <c r="F62" s="120"/>
      <c r="G62" s="120"/>
      <c r="H62" s="120"/>
      <c r="I62" s="120"/>
      <c r="J62" s="120"/>
      <c r="K62" s="120"/>
      <c r="L62" s="120"/>
      <c r="M62" s="120"/>
      <c r="N62" s="125"/>
      <c r="O62" s="120"/>
      <c r="P62" s="123"/>
      <c r="Q62" s="123"/>
      <c r="R62" s="123"/>
      <c r="S62" s="123"/>
      <c r="T62" s="123"/>
      <c r="U62" s="123"/>
      <c r="V62" s="123"/>
      <c r="W62" s="123"/>
      <c r="X62" s="123"/>
      <c r="Y62" s="123"/>
      <c r="Z62" s="123"/>
      <c r="AA62" s="123"/>
    </row>
    <row r="63" spans="1:27" ht="14.4" x14ac:dyDescent="0.3">
      <c r="A63" s="123"/>
      <c r="B63" s="123"/>
      <c r="C63" s="123"/>
      <c r="D63" s="121"/>
      <c r="E63" s="120"/>
      <c r="F63" s="120"/>
      <c r="G63" s="120"/>
      <c r="H63" s="120"/>
      <c r="I63" s="120"/>
      <c r="J63" s="120"/>
      <c r="K63" s="120"/>
      <c r="L63" s="120"/>
      <c r="M63" s="120"/>
      <c r="N63" s="120"/>
      <c r="O63" s="120"/>
      <c r="P63" s="123"/>
      <c r="Q63" s="123"/>
      <c r="R63" s="123"/>
      <c r="S63" s="123"/>
      <c r="T63" s="123"/>
      <c r="U63" s="123"/>
      <c r="V63" s="123"/>
      <c r="W63" s="123"/>
      <c r="X63" s="123"/>
      <c r="Y63" s="123"/>
      <c r="Z63" s="123"/>
      <c r="AA63" s="123"/>
    </row>
    <row r="64" spans="1:27" ht="14.4" x14ac:dyDescent="0.3">
      <c r="A64" s="123"/>
      <c r="B64" s="123"/>
      <c r="C64" s="123"/>
      <c r="D64" s="121"/>
      <c r="E64" s="120"/>
      <c r="F64" s="120"/>
      <c r="G64" s="120"/>
      <c r="H64" s="120"/>
      <c r="I64" s="120"/>
      <c r="J64" s="120"/>
      <c r="K64" s="120"/>
      <c r="L64" s="120"/>
      <c r="M64" s="120"/>
      <c r="N64" s="120"/>
      <c r="O64" s="120"/>
      <c r="P64" s="123"/>
      <c r="Q64" s="123"/>
      <c r="R64" s="123"/>
      <c r="S64" s="123"/>
      <c r="T64" s="123"/>
      <c r="U64" s="123"/>
      <c r="V64" s="123"/>
      <c r="W64" s="123"/>
      <c r="X64" s="123"/>
      <c r="Y64" s="123"/>
      <c r="Z64" s="123"/>
      <c r="AA64" s="123"/>
    </row>
    <row r="65" spans="1:27" ht="14.4" x14ac:dyDescent="0.3">
      <c r="A65" s="123"/>
      <c r="B65" s="123"/>
      <c r="C65" s="123"/>
      <c r="D65" s="121"/>
      <c r="E65" s="120"/>
      <c r="F65" s="120"/>
      <c r="G65" s="120"/>
      <c r="H65" s="120"/>
      <c r="I65" s="120"/>
      <c r="J65" s="120"/>
      <c r="K65" s="120"/>
      <c r="L65" s="120"/>
      <c r="M65" s="120"/>
      <c r="N65" s="120"/>
      <c r="O65" s="120"/>
      <c r="P65" s="123"/>
      <c r="Q65" s="123"/>
      <c r="R65" s="123"/>
      <c r="S65" s="123"/>
      <c r="T65" s="123"/>
      <c r="U65" s="123"/>
      <c r="V65" s="123"/>
      <c r="W65" s="123"/>
      <c r="X65" s="123"/>
      <c r="Y65" s="123"/>
      <c r="Z65" s="123"/>
      <c r="AA65" s="123"/>
    </row>
    <row r="66" spans="1:27" ht="14.4" x14ac:dyDescent="0.3">
      <c r="A66" s="123"/>
      <c r="B66" s="123"/>
      <c r="C66" s="123"/>
      <c r="D66" s="121"/>
      <c r="E66" s="120"/>
      <c r="F66" s="120"/>
      <c r="G66" s="120"/>
      <c r="H66" s="120"/>
      <c r="I66" s="120"/>
      <c r="J66" s="120"/>
      <c r="K66" s="120"/>
      <c r="L66" s="120"/>
      <c r="M66" s="120"/>
      <c r="N66" s="120"/>
      <c r="O66" s="120"/>
      <c r="P66" s="123"/>
      <c r="Q66" s="123"/>
      <c r="R66" s="123"/>
      <c r="S66" s="123"/>
      <c r="T66" s="123"/>
      <c r="U66" s="123"/>
      <c r="V66" s="123"/>
      <c r="W66" s="123"/>
      <c r="X66" s="123"/>
      <c r="Y66" s="123"/>
      <c r="Z66" s="123"/>
      <c r="AA66" s="123"/>
    </row>
  </sheetData>
  <mergeCells count="142">
    <mergeCell ref="K54:K56"/>
    <mergeCell ref="L54:L56"/>
    <mergeCell ref="M54:M56"/>
    <mergeCell ref="N54:N56"/>
    <mergeCell ref="O54:O56"/>
    <mergeCell ref="A57:S57"/>
    <mergeCell ref="M51:M53"/>
    <mergeCell ref="N51:N53"/>
    <mergeCell ref="O51:O53"/>
    <mergeCell ref="B54:C56"/>
    <mergeCell ref="D54:D56"/>
    <mergeCell ref="E54:E56"/>
    <mergeCell ref="G54:G56"/>
    <mergeCell ref="H54:H56"/>
    <mergeCell ref="I54:I56"/>
    <mergeCell ref="J54:J56"/>
    <mergeCell ref="A41:A56"/>
    <mergeCell ref="B41:C41"/>
    <mergeCell ref="O45:O47"/>
    <mergeCell ref="B48:C50"/>
    <mergeCell ref="D48:D50"/>
    <mergeCell ref="E48:E50"/>
    <mergeCell ref="G48:G50"/>
    <mergeCell ref="H48:H50"/>
    <mergeCell ref="O48:O50"/>
    <mergeCell ref="B51:C53"/>
    <mergeCell ref="D51:D53"/>
    <mergeCell ref="E51:E53"/>
    <mergeCell ref="G51:G53"/>
    <mergeCell ref="H51:H53"/>
    <mergeCell ref="I51:I53"/>
    <mergeCell ref="J51:J53"/>
    <mergeCell ref="K51:K53"/>
    <mergeCell ref="L51:L53"/>
    <mergeCell ref="I48:I50"/>
    <mergeCell ref="J48:J50"/>
    <mergeCell ref="K48:K50"/>
    <mergeCell ref="L48:L50"/>
    <mergeCell ref="M48:M50"/>
    <mergeCell ref="N48:N50"/>
    <mergeCell ref="M42:M44"/>
    <mergeCell ref="N42:N44"/>
    <mergeCell ref="O42:O44"/>
    <mergeCell ref="B45:C47"/>
    <mergeCell ref="D45:D47"/>
    <mergeCell ref="E45:E47"/>
    <mergeCell ref="G45:G47"/>
    <mergeCell ref="H45:H47"/>
    <mergeCell ref="I45:I47"/>
    <mergeCell ref="J45:J47"/>
    <mergeCell ref="G42:G44"/>
    <mergeCell ref="H42:H44"/>
    <mergeCell ref="I42:I44"/>
    <mergeCell ref="J42:J44"/>
    <mergeCell ref="K42:K44"/>
    <mergeCell ref="L42:L44"/>
    <mergeCell ref="F41:F56"/>
    <mergeCell ref="B42:C44"/>
    <mergeCell ref="D42:D44"/>
    <mergeCell ref="E42:E44"/>
    <mergeCell ref="K45:K47"/>
    <mergeCell ref="L45:L47"/>
    <mergeCell ref="M45:M47"/>
    <mergeCell ref="N45:N47"/>
    <mergeCell ref="A40:S40"/>
    <mergeCell ref="B31:C33"/>
    <mergeCell ref="D31:D33"/>
    <mergeCell ref="E31:E33"/>
    <mergeCell ref="O31:O33"/>
    <mergeCell ref="F33:J33"/>
    <mergeCell ref="B34:C36"/>
    <mergeCell ref="D34:D36"/>
    <mergeCell ref="E34:E36"/>
    <mergeCell ref="O34:O36"/>
    <mergeCell ref="F36:J36"/>
    <mergeCell ref="B19:C22"/>
    <mergeCell ref="D19:D22"/>
    <mergeCell ref="E19:E22"/>
    <mergeCell ref="O19:O22"/>
    <mergeCell ref="F22:J22"/>
    <mergeCell ref="L22:M22"/>
    <mergeCell ref="B37:C39"/>
    <mergeCell ref="D37:D39"/>
    <mergeCell ref="E37:E39"/>
    <mergeCell ref="O37:O39"/>
    <mergeCell ref="F39:J39"/>
    <mergeCell ref="B28:B30"/>
    <mergeCell ref="D28:D30"/>
    <mergeCell ref="E28:E30"/>
    <mergeCell ref="O28:O30"/>
    <mergeCell ref="C29:C30"/>
    <mergeCell ref="F30:J30"/>
    <mergeCell ref="A24:A39"/>
    <mergeCell ref="B24:C24"/>
    <mergeCell ref="B25:B27"/>
    <mergeCell ref="C25:C27"/>
    <mergeCell ref="D25:D27"/>
    <mergeCell ref="E25:E27"/>
    <mergeCell ref="O25:O27"/>
    <mergeCell ref="F27:J27"/>
    <mergeCell ref="O15:O18"/>
    <mergeCell ref="F18:J18"/>
    <mergeCell ref="L18:M18"/>
    <mergeCell ref="F6:J6"/>
    <mergeCell ref="L6:M6"/>
    <mergeCell ref="B7:C10"/>
    <mergeCell ref="D7:D10"/>
    <mergeCell ref="E7:E10"/>
    <mergeCell ref="O7:O10"/>
    <mergeCell ref="F10:J10"/>
    <mergeCell ref="L10:M10"/>
    <mergeCell ref="B11:B14"/>
    <mergeCell ref="C11:C14"/>
    <mergeCell ref="D11:D14"/>
    <mergeCell ref="E11:E14"/>
    <mergeCell ref="O11:O14"/>
    <mergeCell ref="F14:J14"/>
    <mergeCell ref="L14:M14"/>
    <mergeCell ref="O1:T1"/>
    <mergeCell ref="P6:T6"/>
    <mergeCell ref="P10:T10"/>
    <mergeCell ref="P14:T14"/>
    <mergeCell ref="P18:T18"/>
    <mergeCell ref="P22:T22"/>
    <mergeCell ref="A23:T23"/>
    <mergeCell ref="A3:A22"/>
    <mergeCell ref="B3:B4"/>
    <mergeCell ref="C3:C4"/>
    <mergeCell ref="D3:D6"/>
    <mergeCell ref="E3:E6"/>
    <mergeCell ref="O3:O6"/>
    <mergeCell ref="B5:B6"/>
    <mergeCell ref="C5:C6"/>
    <mergeCell ref="A1:A2"/>
    <mergeCell ref="B1:C2"/>
    <mergeCell ref="D1:D2"/>
    <mergeCell ref="E1:H1"/>
    <mergeCell ref="I1:K1"/>
    <mergeCell ref="L1:N1"/>
    <mergeCell ref="B15:C18"/>
    <mergeCell ref="D15:D18"/>
    <mergeCell ref="E15:E1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91147-B9B7-4E15-85A8-4DD17A4A560A}">
  <dimension ref="A1:Z66"/>
  <sheetViews>
    <sheetView topLeftCell="E2" zoomScale="80" zoomScaleNormal="80" workbookViewId="0">
      <selection activeCell="T2" sqref="P2:T2"/>
    </sheetView>
  </sheetViews>
  <sheetFormatPr defaultColWidth="9.109375" defaultRowHeight="15.6" x14ac:dyDescent="0.3"/>
  <cols>
    <col min="1" max="1" width="13.6640625" style="2" customWidth="1"/>
    <col min="2" max="2" width="30.6640625" style="2" customWidth="1"/>
    <col min="3" max="3" width="17.88671875" style="2" customWidth="1"/>
    <col min="4" max="4" width="11.109375" style="26" customWidth="1"/>
    <col min="5" max="5" width="15.88671875" style="6" customWidth="1"/>
    <col min="6" max="6" width="16.5546875" style="6" customWidth="1"/>
    <col min="7" max="7" width="12.5546875" style="6" customWidth="1"/>
    <col min="8" max="8" width="15.109375" style="6" customWidth="1"/>
    <col min="9" max="9" width="12.33203125" style="6" customWidth="1"/>
    <col min="10" max="10" width="11.109375" style="6" customWidth="1"/>
    <col min="11" max="11" width="12.88671875" style="6" customWidth="1"/>
    <col min="12" max="14" width="12.5546875" style="6" customWidth="1"/>
    <col min="15" max="15" width="14.6640625" style="6" customWidth="1"/>
    <col min="16" max="16" width="27.5546875" style="2" customWidth="1"/>
    <col min="17" max="18" width="13.6640625" style="2" customWidth="1"/>
    <col min="19" max="19" width="15.88671875" style="2" customWidth="1"/>
    <col min="20" max="20" width="30.44140625" style="2" customWidth="1"/>
    <col min="21" max="21" width="11.6640625" style="2" customWidth="1"/>
    <col min="22" max="22" width="14.6640625" style="2" customWidth="1"/>
    <col min="23" max="23" width="13" style="2" customWidth="1"/>
    <col min="24" max="24" width="16.109375" style="2" customWidth="1"/>
    <col min="25" max="25" width="15.109375" style="2" customWidth="1"/>
    <col min="26" max="26" width="14.88671875" style="2" customWidth="1"/>
    <col min="27" max="16384" width="9.109375" style="2"/>
  </cols>
  <sheetData>
    <row r="1" spans="1:22" s="8" customFormat="1" ht="48" customHeight="1" x14ac:dyDescent="0.3">
      <c r="A1" s="370" t="s">
        <v>1</v>
      </c>
      <c r="B1" s="346" t="s">
        <v>2</v>
      </c>
      <c r="C1" s="346"/>
      <c r="D1" s="346" t="s">
        <v>3</v>
      </c>
      <c r="E1" s="355" t="s">
        <v>4</v>
      </c>
      <c r="F1" s="355"/>
      <c r="G1" s="355"/>
      <c r="H1" s="355"/>
      <c r="I1" s="345" t="s">
        <v>5</v>
      </c>
      <c r="J1" s="345"/>
      <c r="K1" s="346"/>
      <c r="L1" s="347" t="s">
        <v>6</v>
      </c>
      <c r="M1" s="347"/>
      <c r="N1" s="528"/>
      <c r="O1" s="515" t="s">
        <v>7</v>
      </c>
      <c r="P1" s="515"/>
      <c r="Q1" s="515"/>
      <c r="R1" s="515"/>
      <c r="S1" s="515"/>
      <c r="T1" s="515"/>
    </row>
    <row r="2" spans="1:22" s="8" customFormat="1" ht="66.75" customHeight="1" thickBot="1" x14ac:dyDescent="0.35">
      <c r="A2" s="371"/>
      <c r="B2" s="372"/>
      <c r="C2" s="372"/>
      <c r="D2" s="372"/>
      <c r="E2" s="54" t="s">
        <v>8</v>
      </c>
      <c r="F2" s="54" t="s">
        <v>9</v>
      </c>
      <c r="G2" s="54" t="s">
        <v>10</v>
      </c>
      <c r="H2" s="54" t="s">
        <v>11</v>
      </c>
      <c r="I2" s="55" t="s">
        <v>12</v>
      </c>
      <c r="J2" s="55" t="s">
        <v>13</v>
      </c>
      <c r="K2" s="55" t="s">
        <v>14</v>
      </c>
      <c r="L2" s="56" t="s">
        <v>15</v>
      </c>
      <c r="M2" s="56" t="s">
        <v>16</v>
      </c>
      <c r="N2" s="57" t="s">
        <v>14</v>
      </c>
      <c r="O2" s="266" t="s">
        <v>17</v>
      </c>
      <c r="P2" s="267" t="s">
        <v>18</v>
      </c>
      <c r="Q2" s="267" t="s">
        <v>19</v>
      </c>
      <c r="R2" s="267" t="s">
        <v>172</v>
      </c>
      <c r="S2" s="267" t="s">
        <v>20</v>
      </c>
      <c r="T2" s="268" t="s">
        <v>173</v>
      </c>
    </row>
    <row r="3" spans="1:22" s="5" customFormat="1" ht="26.25" customHeight="1" x14ac:dyDescent="0.25">
      <c r="A3" s="382" t="s">
        <v>21</v>
      </c>
      <c r="B3" s="373" t="s">
        <v>22</v>
      </c>
      <c r="C3" s="356">
        <v>4240</v>
      </c>
      <c r="D3" s="348">
        <v>2023</v>
      </c>
      <c r="E3" s="524">
        <v>2055</v>
      </c>
      <c r="F3" s="270" t="s">
        <v>23</v>
      </c>
      <c r="G3" s="271"/>
      <c r="H3" s="272">
        <v>2055</v>
      </c>
      <c r="I3" s="273">
        <v>75</v>
      </c>
      <c r="J3" s="274">
        <v>7.9</v>
      </c>
      <c r="K3" s="275">
        <f>H3*I3*J3*12</f>
        <v>14611050</v>
      </c>
      <c r="L3" s="276"/>
      <c r="M3" s="277"/>
      <c r="N3" s="278"/>
      <c r="O3" s="527">
        <f>K6+N6</f>
        <v>14611050</v>
      </c>
      <c r="P3" s="279" t="s">
        <v>24</v>
      </c>
      <c r="Q3" s="275">
        <f>K6-Q4</f>
        <v>13588276.5</v>
      </c>
      <c r="R3" s="275">
        <v>9252651</v>
      </c>
      <c r="S3" s="275">
        <v>0</v>
      </c>
      <c r="T3" s="280">
        <f>Q3-R3</f>
        <v>4335625.5</v>
      </c>
    </row>
    <row r="4" spans="1:22" s="5" customFormat="1" ht="26.25" customHeight="1" x14ac:dyDescent="0.25">
      <c r="A4" s="382"/>
      <c r="B4" s="337"/>
      <c r="C4" s="357"/>
      <c r="D4" s="349"/>
      <c r="E4" s="525"/>
      <c r="F4" s="171"/>
      <c r="G4" s="172"/>
      <c r="H4" s="173"/>
      <c r="I4" s="174"/>
      <c r="J4" s="175"/>
      <c r="K4" s="176"/>
      <c r="L4" s="177"/>
      <c r="M4" s="178"/>
      <c r="N4" s="179"/>
      <c r="O4" s="343"/>
      <c r="P4" s="180" t="s">
        <v>26</v>
      </c>
      <c r="Q4" s="161">
        <f>K6*0.07</f>
        <v>1022773.5000000001</v>
      </c>
      <c r="R4" s="161"/>
      <c r="S4" s="161">
        <v>0</v>
      </c>
      <c r="T4" s="258">
        <f>R4</f>
        <v>0</v>
      </c>
    </row>
    <row r="5" spans="1:22" s="5" customFormat="1" ht="26.25" customHeight="1" x14ac:dyDescent="0.25">
      <c r="A5" s="382"/>
      <c r="B5" s="337" t="s">
        <v>27</v>
      </c>
      <c r="C5" s="357">
        <v>2540</v>
      </c>
      <c r="D5" s="349"/>
      <c r="E5" s="525"/>
      <c r="F5" s="181"/>
      <c r="G5" s="182"/>
      <c r="H5" s="11"/>
      <c r="I5" s="183"/>
      <c r="J5" s="184"/>
      <c r="K5" s="185"/>
      <c r="L5" s="186"/>
      <c r="M5" s="187"/>
      <c r="N5" s="188"/>
      <c r="O5" s="354"/>
      <c r="P5" s="189" t="s">
        <v>29</v>
      </c>
      <c r="Q5" s="18">
        <f>N6</f>
        <v>0</v>
      </c>
      <c r="R5" s="18"/>
      <c r="S5" s="18">
        <v>0</v>
      </c>
      <c r="T5" s="259">
        <v>0</v>
      </c>
      <c r="U5" s="257"/>
    </row>
    <row r="6" spans="1:22" s="5" customFormat="1" ht="26.25" customHeight="1" thickBot="1" x14ac:dyDescent="0.3">
      <c r="A6" s="382"/>
      <c r="B6" s="338"/>
      <c r="C6" s="358"/>
      <c r="D6" s="350"/>
      <c r="E6" s="526"/>
      <c r="F6" s="402" t="s">
        <v>30</v>
      </c>
      <c r="G6" s="396"/>
      <c r="H6" s="396"/>
      <c r="I6" s="396"/>
      <c r="J6" s="397"/>
      <c r="K6" s="190">
        <f>SUM(K3:K5)</f>
        <v>14611050</v>
      </c>
      <c r="L6" s="365" t="s">
        <v>30</v>
      </c>
      <c r="M6" s="366"/>
      <c r="N6" s="191">
        <f>SUM(N3:N5)</f>
        <v>0</v>
      </c>
      <c r="O6" s="344"/>
      <c r="P6" s="516"/>
      <c r="Q6" s="516"/>
      <c r="R6" s="516"/>
      <c r="S6" s="516"/>
      <c r="T6" s="517"/>
    </row>
    <row r="7" spans="1:22" s="4" customFormat="1" ht="26.25" customHeight="1" x14ac:dyDescent="0.25">
      <c r="A7" s="382"/>
      <c r="B7" s="359"/>
      <c r="C7" s="360"/>
      <c r="D7" s="529">
        <v>2024</v>
      </c>
      <c r="E7" s="532">
        <v>2055</v>
      </c>
      <c r="F7" s="34" t="s">
        <v>23</v>
      </c>
      <c r="G7" s="192"/>
      <c r="H7" s="35">
        <v>2055</v>
      </c>
      <c r="I7" s="36">
        <v>75</v>
      </c>
      <c r="J7" s="37">
        <v>7.9</v>
      </c>
      <c r="K7" s="38">
        <f>H7*I7*J7*12</f>
        <v>14611050</v>
      </c>
      <c r="L7" s="193"/>
      <c r="M7" s="39"/>
      <c r="N7" s="40"/>
      <c r="O7" s="342">
        <f>K10+N10</f>
        <v>14611050</v>
      </c>
      <c r="P7" s="269" t="s">
        <v>24</v>
      </c>
      <c r="Q7" s="17">
        <f>K10-Q8</f>
        <v>13880497.5</v>
      </c>
      <c r="R7" s="17">
        <v>9115766</v>
      </c>
      <c r="S7" s="17">
        <f>T7-T3</f>
        <v>429106</v>
      </c>
      <c r="T7" s="281">
        <f>Q7-R7</f>
        <v>4764731.5</v>
      </c>
      <c r="U7" s="5"/>
      <c r="V7" s="155"/>
    </row>
    <row r="8" spans="1:22" s="4" customFormat="1" ht="41.4" customHeight="1" x14ac:dyDescent="0.25">
      <c r="A8" s="382"/>
      <c r="B8" s="361"/>
      <c r="C8" s="362"/>
      <c r="D8" s="530"/>
      <c r="E8" s="533"/>
      <c r="F8" s="27"/>
      <c r="G8" s="194"/>
      <c r="H8" s="11"/>
      <c r="I8" s="12"/>
      <c r="J8" s="23"/>
      <c r="K8" s="16"/>
      <c r="L8" s="14"/>
      <c r="M8" s="22"/>
      <c r="N8" s="18"/>
      <c r="O8" s="343"/>
      <c r="P8" s="180" t="s">
        <v>130</v>
      </c>
      <c r="Q8" s="161">
        <f>K10*0.05</f>
        <v>730552.5</v>
      </c>
      <c r="R8" s="161"/>
      <c r="S8" s="161">
        <f>Q8-Q4</f>
        <v>-292221.00000000012</v>
      </c>
      <c r="T8" s="258">
        <f>R8-T4</f>
        <v>0</v>
      </c>
      <c r="U8" s="159"/>
      <c r="V8" s="160"/>
    </row>
    <row r="9" spans="1:22" s="4" customFormat="1" ht="26.25" customHeight="1" x14ac:dyDescent="0.25">
      <c r="A9" s="382"/>
      <c r="B9" s="361"/>
      <c r="C9" s="362"/>
      <c r="D9" s="530"/>
      <c r="E9" s="533"/>
      <c r="F9" s="28"/>
      <c r="G9" s="182"/>
      <c r="H9" s="11"/>
      <c r="I9" s="13"/>
      <c r="J9" s="21"/>
      <c r="K9" s="17"/>
      <c r="L9" s="14"/>
      <c r="M9" s="22"/>
      <c r="N9" s="18"/>
      <c r="O9" s="343"/>
      <c r="P9" s="189" t="s">
        <v>29</v>
      </c>
      <c r="Q9" s="18">
        <f>N10</f>
        <v>0</v>
      </c>
      <c r="R9" s="18"/>
      <c r="S9" s="18">
        <f>Q5-Q9</f>
        <v>0</v>
      </c>
      <c r="T9" s="259">
        <f>R5-R9</f>
        <v>0</v>
      </c>
      <c r="U9" s="5"/>
      <c r="V9" s="5"/>
    </row>
    <row r="10" spans="1:22" s="4" customFormat="1" ht="26.25" customHeight="1" thickBot="1" x14ac:dyDescent="0.3">
      <c r="A10" s="382"/>
      <c r="B10" s="363"/>
      <c r="C10" s="364"/>
      <c r="D10" s="531"/>
      <c r="E10" s="534"/>
      <c r="F10" s="396" t="s">
        <v>30</v>
      </c>
      <c r="G10" s="396"/>
      <c r="H10" s="396"/>
      <c r="I10" s="396"/>
      <c r="J10" s="397"/>
      <c r="K10" s="19">
        <f>SUM(K7:K9)</f>
        <v>14611050</v>
      </c>
      <c r="L10" s="365" t="s">
        <v>30</v>
      </c>
      <c r="M10" s="366"/>
      <c r="N10" s="20">
        <f>SUM(N7:N9)</f>
        <v>0</v>
      </c>
      <c r="O10" s="344"/>
      <c r="P10" s="518"/>
      <c r="Q10" s="518"/>
      <c r="R10" s="518"/>
      <c r="S10" s="518"/>
      <c r="T10" s="519"/>
      <c r="U10" s="5"/>
      <c r="V10" s="5"/>
    </row>
    <row r="11" spans="1:22" s="5" customFormat="1" ht="26.25" customHeight="1" x14ac:dyDescent="0.25">
      <c r="A11" s="382"/>
      <c r="B11" s="336" t="s">
        <v>131</v>
      </c>
      <c r="C11" s="420">
        <v>43940212</v>
      </c>
      <c r="D11" s="529">
        <v>2025</v>
      </c>
      <c r="E11" s="532">
        <v>2055</v>
      </c>
      <c r="F11" s="46" t="s">
        <v>23</v>
      </c>
      <c r="G11" s="192"/>
      <c r="H11" s="47">
        <v>2055</v>
      </c>
      <c r="I11" s="48">
        <v>75</v>
      </c>
      <c r="J11" s="49">
        <v>7.9</v>
      </c>
      <c r="K11" s="50">
        <f>H11*I11*J11*12</f>
        <v>14611050</v>
      </c>
      <c r="L11" s="169"/>
      <c r="M11" s="39"/>
      <c r="N11" s="40"/>
      <c r="O11" s="342">
        <f>K14+N14</f>
        <v>14611050</v>
      </c>
      <c r="P11" s="269" t="s">
        <v>24</v>
      </c>
      <c r="Q11" s="17">
        <f>K14-Q12</f>
        <v>13880497.5</v>
      </c>
      <c r="R11" s="17">
        <v>9627288</v>
      </c>
      <c r="S11" s="17">
        <f>T11-T3</f>
        <v>-82416</v>
      </c>
      <c r="T11" s="281">
        <f>Q11-R11</f>
        <v>4253209.5</v>
      </c>
    </row>
    <row r="12" spans="1:22" s="5" customFormat="1" ht="26.25" customHeight="1" x14ac:dyDescent="0.25">
      <c r="A12" s="382"/>
      <c r="B12" s="337"/>
      <c r="C12" s="421"/>
      <c r="D12" s="530"/>
      <c r="E12" s="533"/>
      <c r="F12" s="28"/>
      <c r="G12" s="194"/>
      <c r="H12" s="24"/>
      <c r="I12" s="13"/>
      <c r="J12" s="21"/>
      <c r="K12" s="17"/>
      <c r="L12" s="14"/>
      <c r="M12" s="22"/>
      <c r="N12" s="18"/>
      <c r="O12" s="343"/>
      <c r="P12" s="180" t="s">
        <v>130</v>
      </c>
      <c r="Q12" s="161">
        <f>K14*0.05</f>
        <v>730552.5</v>
      </c>
      <c r="R12" s="161"/>
      <c r="S12" s="161">
        <f>Q12-Q4</f>
        <v>-292221.00000000012</v>
      </c>
      <c r="T12" s="258">
        <f>R12-T4</f>
        <v>0</v>
      </c>
    </row>
    <row r="13" spans="1:22" s="5" customFormat="1" ht="26.25" customHeight="1" x14ac:dyDescent="0.25">
      <c r="A13" s="382"/>
      <c r="B13" s="337"/>
      <c r="C13" s="421"/>
      <c r="D13" s="530"/>
      <c r="E13" s="533"/>
      <c r="F13" s="28"/>
      <c r="G13" s="182"/>
      <c r="H13" s="24"/>
      <c r="I13" s="13"/>
      <c r="J13" s="21"/>
      <c r="K13" s="17"/>
      <c r="L13" s="14"/>
      <c r="M13" s="22"/>
      <c r="N13" s="18"/>
      <c r="O13" s="343"/>
      <c r="P13" s="189" t="s">
        <v>29</v>
      </c>
      <c r="Q13" s="18">
        <f>N14</f>
        <v>0</v>
      </c>
      <c r="R13" s="18"/>
      <c r="S13" s="18">
        <f>Q5-Q13</f>
        <v>0</v>
      </c>
      <c r="T13" s="259">
        <f>R5-R13</f>
        <v>0</v>
      </c>
    </row>
    <row r="14" spans="1:22" s="5" customFormat="1" ht="26.25" customHeight="1" thickBot="1" x14ac:dyDescent="0.3">
      <c r="A14" s="382"/>
      <c r="B14" s="338"/>
      <c r="C14" s="422"/>
      <c r="D14" s="531"/>
      <c r="E14" s="534"/>
      <c r="F14" s="396" t="s">
        <v>30</v>
      </c>
      <c r="G14" s="396"/>
      <c r="H14" s="396"/>
      <c r="I14" s="396"/>
      <c r="J14" s="397"/>
      <c r="K14" s="19">
        <f>SUM(K11:K13)</f>
        <v>14611050</v>
      </c>
      <c r="L14" s="365" t="s">
        <v>30</v>
      </c>
      <c r="M14" s="366"/>
      <c r="N14" s="20">
        <f>SUM(N11:N13)</f>
        <v>0</v>
      </c>
      <c r="O14" s="344"/>
      <c r="P14" s="518"/>
      <c r="Q14" s="518"/>
      <c r="R14" s="518"/>
      <c r="S14" s="518"/>
      <c r="T14" s="519"/>
    </row>
    <row r="15" spans="1:22" s="5" customFormat="1" ht="26.25" customHeight="1" x14ac:dyDescent="0.25">
      <c r="A15" s="382"/>
      <c r="B15" s="409"/>
      <c r="C15" s="410"/>
      <c r="D15" s="529">
        <v>2026</v>
      </c>
      <c r="E15" s="532">
        <v>2055</v>
      </c>
      <c r="F15" s="46" t="s">
        <v>23</v>
      </c>
      <c r="G15" s="192"/>
      <c r="H15" s="47">
        <v>2055</v>
      </c>
      <c r="I15" s="48">
        <v>75</v>
      </c>
      <c r="J15" s="49">
        <v>7.9</v>
      </c>
      <c r="K15" s="50">
        <f>H15*I15*J15*12</f>
        <v>14611050</v>
      </c>
      <c r="L15" s="169"/>
      <c r="M15" s="39"/>
      <c r="N15" s="40"/>
      <c r="O15" s="342">
        <f>K18+N18</f>
        <v>14611050</v>
      </c>
      <c r="P15" s="269" t="s">
        <v>24</v>
      </c>
      <c r="Q15" s="17">
        <f>K18-Q16</f>
        <v>13880497.5</v>
      </c>
      <c r="R15" s="17">
        <v>8069020</v>
      </c>
      <c r="S15" s="17">
        <f>T15-T3</f>
        <v>1475852</v>
      </c>
      <c r="T15" s="281">
        <f>Q15-R15</f>
        <v>5811477.5</v>
      </c>
    </row>
    <row r="16" spans="1:22" s="5" customFormat="1" ht="26.25" customHeight="1" x14ac:dyDescent="0.25">
      <c r="A16" s="382"/>
      <c r="B16" s="411"/>
      <c r="C16" s="412"/>
      <c r="D16" s="530"/>
      <c r="E16" s="533"/>
      <c r="F16" s="28"/>
      <c r="G16" s="194"/>
      <c r="H16" s="24"/>
      <c r="I16" s="13"/>
      <c r="J16" s="21"/>
      <c r="K16" s="17"/>
      <c r="L16" s="14"/>
      <c r="M16" s="22"/>
      <c r="N16" s="18"/>
      <c r="O16" s="343"/>
      <c r="P16" s="180" t="s">
        <v>130</v>
      </c>
      <c r="Q16" s="161">
        <f>K18*0.05</f>
        <v>730552.5</v>
      </c>
      <c r="R16" s="161"/>
      <c r="S16" s="161">
        <f>Q16-Q4</f>
        <v>-292221.00000000012</v>
      </c>
      <c r="T16" s="258">
        <f>R16-T4</f>
        <v>0</v>
      </c>
    </row>
    <row r="17" spans="1:22" s="5" customFormat="1" ht="26.25" customHeight="1" x14ac:dyDescent="0.25">
      <c r="A17" s="382"/>
      <c r="B17" s="411"/>
      <c r="C17" s="412"/>
      <c r="D17" s="530"/>
      <c r="E17" s="533"/>
      <c r="F17" s="28"/>
      <c r="G17" s="182"/>
      <c r="H17" s="24"/>
      <c r="I17" s="13"/>
      <c r="J17" s="21"/>
      <c r="K17" s="17"/>
      <c r="L17" s="14"/>
      <c r="M17" s="22"/>
      <c r="N17" s="18"/>
      <c r="O17" s="343"/>
      <c r="P17" s="189" t="s">
        <v>29</v>
      </c>
      <c r="Q17" s="18">
        <f>N18</f>
        <v>0</v>
      </c>
      <c r="R17" s="18"/>
      <c r="S17" s="18">
        <f>Q5-Q17</f>
        <v>0</v>
      </c>
      <c r="T17" s="259">
        <f>R5-R17</f>
        <v>0</v>
      </c>
    </row>
    <row r="18" spans="1:22" s="5" customFormat="1" ht="26.25" customHeight="1" thickBot="1" x14ac:dyDescent="0.3">
      <c r="A18" s="382"/>
      <c r="B18" s="413"/>
      <c r="C18" s="414"/>
      <c r="D18" s="531"/>
      <c r="E18" s="534"/>
      <c r="F18" s="396" t="s">
        <v>30</v>
      </c>
      <c r="G18" s="396"/>
      <c r="H18" s="396"/>
      <c r="I18" s="396"/>
      <c r="J18" s="397"/>
      <c r="K18" s="19">
        <f>SUM(K15:K17)</f>
        <v>14611050</v>
      </c>
      <c r="L18" s="365" t="s">
        <v>30</v>
      </c>
      <c r="M18" s="366"/>
      <c r="N18" s="20">
        <f>SUM(N15:N17)</f>
        <v>0</v>
      </c>
      <c r="O18" s="344"/>
      <c r="P18" s="522"/>
      <c r="Q18" s="522"/>
      <c r="R18" s="522"/>
      <c r="S18" s="522"/>
      <c r="T18" s="523"/>
    </row>
    <row r="19" spans="1:22" s="5" customFormat="1" ht="26.25" customHeight="1" x14ac:dyDescent="0.25">
      <c r="A19" s="382"/>
      <c r="B19" s="415"/>
      <c r="C19" s="416"/>
      <c r="D19" s="535" t="s">
        <v>31</v>
      </c>
      <c r="E19" s="538">
        <v>2055</v>
      </c>
      <c r="F19" s="51" t="s">
        <v>23</v>
      </c>
      <c r="G19" s="192"/>
      <c r="H19" s="52">
        <v>2055</v>
      </c>
      <c r="I19" s="53">
        <v>75</v>
      </c>
      <c r="J19" s="49">
        <v>7.9</v>
      </c>
      <c r="K19" s="50">
        <f>H19*I19*J19*12</f>
        <v>14611050</v>
      </c>
      <c r="L19" s="169">
        <v>350</v>
      </c>
      <c r="M19" s="39">
        <v>15.25</v>
      </c>
      <c r="N19" s="40">
        <f>H19*L19*M19</f>
        <v>10968562.5</v>
      </c>
      <c r="O19" s="342">
        <f>K22+N22</f>
        <v>25579612.5</v>
      </c>
      <c r="P19" s="269" t="s">
        <v>24</v>
      </c>
      <c r="Q19" s="17">
        <f>K22-Q20</f>
        <v>13880497.5</v>
      </c>
      <c r="R19" s="17">
        <v>0</v>
      </c>
      <c r="S19" s="17">
        <f>T19-T3</f>
        <v>9544872</v>
      </c>
      <c r="T19" s="281">
        <f>Q19-R19</f>
        <v>13880497.5</v>
      </c>
    </row>
    <row r="20" spans="1:22" s="5" customFormat="1" ht="26.25" customHeight="1" x14ac:dyDescent="0.25">
      <c r="A20" s="382"/>
      <c r="B20" s="411"/>
      <c r="C20" s="417"/>
      <c r="D20" s="536"/>
      <c r="E20" s="539"/>
      <c r="F20" s="10"/>
      <c r="G20" s="194"/>
      <c r="H20" s="15"/>
      <c r="I20" s="25"/>
      <c r="J20" s="21"/>
      <c r="K20" s="17"/>
      <c r="L20" s="14"/>
      <c r="M20" s="22"/>
      <c r="N20" s="18"/>
      <c r="O20" s="343"/>
      <c r="P20" s="180" t="s">
        <v>130</v>
      </c>
      <c r="Q20" s="161">
        <f>K22*0.05</f>
        <v>730552.5</v>
      </c>
      <c r="R20" s="161"/>
      <c r="S20" s="161">
        <f>Q20-Q4</f>
        <v>-292221.00000000012</v>
      </c>
      <c r="T20" s="258">
        <f>R20-T4</f>
        <v>0</v>
      </c>
    </row>
    <row r="21" spans="1:22" s="5" customFormat="1" ht="26.25" customHeight="1" x14ac:dyDescent="0.25">
      <c r="A21" s="382"/>
      <c r="B21" s="411"/>
      <c r="C21" s="417"/>
      <c r="D21" s="536"/>
      <c r="E21" s="539"/>
      <c r="F21" s="10"/>
      <c r="G21" s="182"/>
      <c r="H21" s="15"/>
      <c r="I21" s="25"/>
      <c r="J21" s="21"/>
      <c r="K21" s="17"/>
      <c r="L21" s="14"/>
      <c r="M21" s="22"/>
      <c r="N21" s="18"/>
      <c r="O21" s="343"/>
      <c r="P21" s="189" t="s">
        <v>29</v>
      </c>
      <c r="Q21" s="18">
        <f>N22</f>
        <v>10968562.5</v>
      </c>
      <c r="R21" s="18"/>
      <c r="S21" s="18">
        <f>Q5-Q21</f>
        <v>-10968562.5</v>
      </c>
      <c r="T21" s="259">
        <f>R21-T5</f>
        <v>0</v>
      </c>
    </row>
    <row r="22" spans="1:22" s="5" customFormat="1" ht="26.25" customHeight="1" thickBot="1" x14ac:dyDescent="0.3">
      <c r="A22" s="382"/>
      <c r="B22" s="418"/>
      <c r="C22" s="419"/>
      <c r="D22" s="537"/>
      <c r="E22" s="540"/>
      <c r="F22" s="510" t="s">
        <v>30</v>
      </c>
      <c r="G22" s="511"/>
      <c r="H22" s="511"/>
      <c r="I22" s="511"/>
      <c r="J22" s="512"/>
      <c r="K22" s="260">
        <f>SUM(K19:K21)</f>
        <v>14611050</v>
      </c>
      <c r="L22" s="513" t="s">
        <v>30</v>
      </c>
      <c r="M22" s="514"/>
      <c r="N22" s="261">
        <f>SUM(N19:N21)</f>
        <v>10968562.5</v>
      </c>
      <c r="O22" s="509"/>
      <c r="P22" s="520"/>
      <c r="Q22" s="520"/>
      <c r="R22" s="520"/>
      <c r="S22" s="520"/>
      <c r="T22" s="521"/>
    </row>
    <row r="23" spans="1:22" s="5" customFormat="1" ht="11.25" customHeight="1" x14ac:dyDescent="0.25">
      <c r="A23" s="495"/>
      <c r="B23" s="496"/>
      <c r="C23" s="496"/>
      <c r="D23" s="496"/>
      <c r="E23" s="496"/>
      <c r="F23" s="496"/>
      <c r="G23" s="496"/>
      <c r="H23" s="496"/>
      <c r="I23" s="496"/>
      <c r="J23" s="496"/>
      <c r="K23" s="496"/>
      <c r="L23" s="496"/>
      <c r="M23" s="496"/>
      <c r="N23" s="496"/>
      <c r="O23" s="496"/>
      <c r="P23" s="496"/>
      <c r="Q23" s="496"/>
      <c r="R23" s="496"/>
      <c r="S23" s="496"/>
      <c r="T23" s="496"/>
    </row>
    <row r="24" spans="1:22" s="5" customFormat="1" ht="90.75" customHeight="1" thickBot="1" x14ac:dyDescent="0.3">
      <c r="A24" s="398" t="s">
        <v>32</v>
      </c>
      <c r="B24" s="462" t="s">
        <v>2</v>
      </c>
      <c r="C24" s="462"/>
      <c r="D24" s="33" t="s">
        <v>3</v>
      </c>
      <c r="E24" s="60" t="s">
        <v>8</v>
      </c>
      <c r="F24" s="60" t="s">
        <v>9</v>
      </c>
      <c r="G24" s="60" t="s">
        <v>10</v>
      </c>
      <c r="H24" s="60" t="s">
        <v>11</v>
      </c>
      <c r="I24" s="61" t="s">
        <v>12</v>
      </c>
      <c r="J24" s="61" t="s">
        <v>13</v>
      </c>
      <c r="K24" s="61" t="s">
        <v>14</v>
      </c>
      <c r="L24" s="61" t="s">
        <v>15</v>
      </c>
      <c r="M24" s="61" t="s">
        <v>16</v>
      </c>
      <c r="N24" s="60" t="s">
        <v>14</v>
      </c>
      <c r="O24" s="60" t="s">
        <v>17</v>
      </c>
      <c r="P24" s="61" t="s">
        <v>18</v>
      </c>
      <c r="Q24" s="61" t="s">
        <v>19</v>
      </c>
      <c r="R24" s="61"/>
      <c r="S24" s="61" t="s">
        <v>20</v>
      </c>
      <c r="T24" s="9"/>
    </row>
    <row r="25" spans="1:22" s="5" customFormat="1" ht="27" customHeight="1" x14ac:dyDescent="0.25">
      <c r="A25" s="399"/>
      <c r="B25" s="373" t="s">
        <v>33</v>
      </c>
      <c r="C25" s="384" t="s">
        <v>33</v>
      </c>
      <c r="D25" s="351">
        <v>2023</v>
      </c>
      <c r="E25" s="339">
        <v>2850</v>
      </c>
      <c r="F25" s="62" t="s">
        <v>23</v>
      </c>
      <c r="G25" s="70">
        <v>0.5</v>
      </c>
      <c r="H25" s="69">
        <f>E25*G25</f>
        <v>1425</v>
      </c>
      <c r="I25" s="71">
        <v>200</v>
      </c>
      <c r="J25" s="86">
        <v>5.7</v>
      </c>
      <c r="K25" s="83">
        <f>H25*I25*J25*12</f>
        <v>19494000</v>
      </c>
      <c r="L25" s="73"/>
      <c r="M25" s="73"/>
      <c r="N25" s="74"/>
      <c r="O25" s="438">
        <f>K27</f>
        <v>36252000</v>
      </c>
      <c r="P25" s="170" t="s">
        <v>24</v>
      </c>
      <c r="Q25" s="83">
        <f>K27-Q26</f>
        <v>31539240</v>
      </c>
      <c r="R25" s="236"/>
      <c r="S25" s="102"/>
      <c r="T25" s="9"/>
    </row>
    <row r="26" spans="1:22" s="5" customFormat="1" ht="27" customHeight="1" x14ac:dyDescent="0.25">
      <c r="A26" s="399"/>
      <c r="B26" s="337"/>
      <c r="C26" s="385"/>
      <c r="D26" s="352"/>
      <c r="E26" s="340"/>
      <c r="F26" s="32" t="s">
        <v>25</v>
      </c>
      <c r="G26" s="76">
        <v>0.5</v>
      </c>
      <c r="H26" s="75">
        <f>E25*G26</f>
        <v>1425</v>
      </c>
      <c r="I26" s="77">
        <v>200</v>
      </c>
      <c r="J26" s="87">
        <v>4.9000000000000004</v>
      </c>
      <c r="K26" s="84">
        <f>H26*I26*J26*12</f>
        <v>16758000</v>
      </c>
      <c r="L26" s="79"/>
      <c r="M26" s="79"/>
      <c r="N26" s="80"/>
      <c r="O26" s="439"/>
      <c r="P26" s="180" t="s">
        <v>34</v>
      </c>
      <c r="Q26" s="152">
        <f>K27*0.13</f>
        <v>4712760</v>
      </c>
      <c r="R26" s="237"/>
      <c r="S26" s="103"/>
      <c r="T26" s="9"/>
    </row>
    <row r="27" spans="1:22" s="5" customFormat="1" ht="27" customHeight="1" thickBot="1" x14ac:dyDescent="0.3">
      <c r="A27" s="399"/>
      <c r="B27" s="463"/>
      <c r="C27" s="386"/>
      <c r="D27" s="353"/>
      <c r="E27" s="341"/>
      <c r="F27" s="441" t="s">
        <v>30</v>
      </c>
      <c r="G27" s="441"/>
      <c r="H27" s="441"/>
      <c r="I27" s="441"/>
      <c r="J27" s="441"/>
      <c r="K27" s="85">
        <f>K25+K26</f>
        <v>36252000</v>
      </c>
      <c r="L27" s="81"/>
      <c r="M27" s="81"/>
      <c r="N27" s="82"/>
      <c r="O27" s="440"/>
      <c r="P27" s="189" t="s">
        <v>29</v>
      </c>
      <c r="Q27" s="104">
        <v>0</v>
      </c>
      <c r="R27" s="238"/>
      <c r="S27" s="105">
        <v>0</v>
      </c>
      <c r="T27" s="9"/>
    </row>
    <row r="28" spans="1:22" s="5" customFormat="1" ht="27" customHeight="1" x14ac:dyDescent="0.25">
      <c r="A28" s="399"/>
      <c r="B28" s="430" t="s">
        <v>35</v>
      </c>
      <c r="C28" s="91">
        <v>36000</v>
      </c>
      <c r="D28" s="377">
        <v>2024</v>
      </c>
      <c r="E28" s="379">
        <v>2850</v>
      </c>
      <c r="F28" s="62" t="s">
        <v>23</v>
      </c>
      <c r="G28" s="70">
        <v>0.5</v>
      </c>
      <c r="H28" s="92">
        <f>E28*G28</f>
        <v>1425</v>
      </c>
      <c r="I28" s="71">
        <v>200</v>
      </c>
      <c r="J28" s="86">
        <v>5.7</v>
      </c>
      <c r="K28" s="93">
        <f>H28*I28*J28*12</f>
        <v>19494000</v>
      </c>
      <c r="L28" s="94"/>
      <c r="M28" s="94"/>
      <c r="N28" s="63"/>
      <c r="O28" s="393">
        <f>K30</f>
        <v>36252000</v>
      </c>
      <c r="P28" s="170" t="s">
        <v>24</v>
      </c>
      <c r="Q28" s="83">
        <f>K30-Q29</f>
        <v>32989320</v>
      </c>
      <c r="R28" s="236"/>
      <c r="S28" s="102">
        <f>Q25-Q28</f>
        <v>-1450080</v>
      </c>
      <c r="T28" s="9"/>
      <c r="V28" s="155"/>
    </row>
    <row r="29" spans="1:22" s="5" customFormat="1" ht="27" customHeight="1" x14ac:dyDescent="0.25">
      <c r="A29" s="399"/>
      <c r="B29" s="431"/>
      <c r="C29" s="432">
        <v>54726050</v>
      </c>
      <c r="D29" s="378"/>
      <c r="E29" s="380"/>
      <c r="F29" s="32" t="s">
        <v>25</v>
      </c>
      <c r="G29" s="76">
        <v>0.5</v>
      </c>
      <c r="H29" s="89">
        <f>G29*E28</f>
        <v>1425</v>
      </c>
      <c r="I29" s="77">
        <v>200</v>
      </c>
      <c r="J29" s="87">
        <v>4.9000000000000004</v>
      </c>
      <c r="K29" s="90">
        <f>H29*I29*J29*12</f>
        <v>16758000</v>
      </c>
      <c r="L29" s="31"/>
      <c r="M29" s="31"/>
      <c r="N29" s="30"/>
      <c r="O29" s="394"/>
      <c r="P29" s="180" t="s">
        <v>36</v>
      </c>
      <c r="Q29" s="106">
        <f>K30*0.09</f>
        <v>3262680</v>
      </c>
      <c r="R29" s="162"/>
      <c r="S29" s="103"/>
      <c r="T29" s="156"/>
      <c r="V29" s="155"/>
    </row>
    <row r="30" spans="1:22" s="5" customFormat="1" ht="27" customHeight="1" thickBot="1" x14ac:dyDescent="0.3">
      <c r="A30" s="399"/>
      <c r="B30" s="431"/>
      <c r="C30" s="433"/>
      <c r="D30" s="378"/>
      <c r="E30" s="381"/>
      <c r="F30" s="434" t="s">
        <v>30</v>
      </c>
      <c r="G30" s="434"/>
      <c r="H30" s="434"/>
      <c r="I30" s="434"/>
      <c r="J30" s="434"/>
      <c r="K30" s="85">
        <f>K28+K29</f>
        <v>36252000</v>
      </c>
      <c r="L30" s="68"/>
      <c r="M30" s="68"/>
      <c r="N30" s="67"/>
      <c r="O30" s="395"/>
      <c r="P30" s="189" t="s">
        <v>29</v>
      </c>
      <c r="Q30" s="104">
        <v>0</v>
      </c>
      <c r="R30" s="238"/>
      <c r="S30" s="105">
        <v>0</v>
      </c>
      <c r="T30" s="9"/>
    </row>
    <row r="31" spans="1:22" s="5" customFormat="1" ht="27" customHeight="1" x14ac:dyDescent="0.25">
      <c r="A31" s="399"/>
      <c r="B31" s="426"/>
      <c r="C31" s="427"/>
      <c r="D31" s="377">
        <v>2025</v>
      </c>
      <c r="E31" s="444">
        <v>2950</v>
      </c>
      <c r="F31" s="62" t="s">
        <v>23</v>
      </c>
      <c r="G31" s="70">
        <v>0.5</v>
      </c>
      <c r="H31" s="92">
        <f>E31*G31</f>
        <v>1475</v>
      </c>
      <c r="I31" s="72">
        <v>200</v>
      </c>
      <c r="J31" s="86">
        <v>5.7</v>
      </c>
      <c r="K31" s="83">
        <f>H31*I31*J31*12</f>
        <v>20178000</v>
      </c>
      <c r="L31" s="94"/>
      <c r="M31" s="94"/>
      <c r="N31" s="63"/>
      <c r="O31" s="393">
        <f>K33</f>
        <v>37524000</v>
      </c>
      <c r="P31" s="170" t="s">
        <v>24</v>
      </c>
      <c r="Q31" s="83">
        <f>K33-Q32</f>
        <v>34146840</v>
      </c>
      <c r="R31" s="236"/>
      <c r="S31" s="102">
        <f>Q25-Q31</f>
        <v>-2607600</v>
      </c>
      <c r="T31" s="9"/>
    </row>
    <row r="32" spans="1:22" s="5" customFormat="1" ht="27" customHeight="1" x14ac:dyDescent="0.25">
      <c r="A32" s="399"/>
      <c r="B32" s="424"/>
      <c r="C32" s="425"/>
      <c r="D32" s="442"/>
      <c r="E32" s="381"/>
      <c r="F32" s="32" t="s">
        <v>25</v>
      </c>
      <c r="G32" s="76">
        <v>0.5</v>
      </c>
      <c r="H32" s="89">
        <f>G32*E31</f>
        <v>1475</v>
      </c>
      <c r="I32" s="78">
        <v>200</v>
      </c>
      <c r="J32" s="87">
        <v>4.9000000000000004</v>
      </c>
      <c r="K32" s="84">
        <f>H32*I32*J32*12</f>
        <v>17346000</v>
      </c>
      <c r="L32" s="31"/>
      <c r="M32" s="31"/>
      <c r="N32" s="30"/>
      <c r="O32" s="394"/>
      <c r="P32" s="180" t="s">
        <v>36</v>
      </c>
      <c r="Q32" s="106">
        <f>K33*0.09</f>
        <v>3377160</v>
      </c>
      <c r="R32" s="162"/>
      <c r="S32" s="103"/>
      <c r="T32" s="9"/>
    </row>
    <row r="33" spans="1:23" s="5" customFormat="1" ht="27" customHeight="1" thickBot="1" x14ac:dyDescent="0.3">
      <c r="A33" s="399"/>
      <c r="B33" s="428"/>
      <c r="C33" s="429"/>
      <c r="D33" s="443"/>
      <c r="E33" s="445"/>
      <c r="F33" s="435" t="s">
        <v>30</v>
      </c>
      <c r="G33" s="435"/>
      <c r="H33" s="435"/>
      <c r="I33" s="435"/>
      <c r="J33" s="435"/>
      <c r="K33" s="88">
        <f>K31+K32</f>
        <v>37524000</v>
      </c>
      <c r="L33" s="66"/>
      <c r="M33" s="66"/>
      <c r="N33" s="64"/>
      <c r="O33" s="436"/>
      <c r="P33" s="189" t="s">
        <v>29</v>
      </c>
      <c r="Q33" s="107">
        <f>N37</f>
        <v>0</v>
      </c>
      <c r="R33" s="239"/>
      <c r="S33" s="108">
        <f>Q33-Q30</f>
        <v>0</v>
      </c>
      <c r="T33" s="9"/>
    </row>
    <row r="34" spans="1:23" s="5" customFormat="1" ht="27" customHeight="1" x14ac:dyDescent="0.25">
      <c r="A34" s="399"/>
      <c r="B34" s="424"/>
      <c r="C34" s="425"/>
      <c r="D34" s="442">
        <v>2026</v>
      </c>
      <c r="E34" s="381">
        <v>3200</v>
      </c>
      <c r="F34" s="95" t="s">
        <v>23</v>
      </c>
      <c r="G34" s="96">
        <v>0.5</v>
      </c>
      <c r="H34" s="97">
        <f>G34*E34</f>
        <v>1600</v>
      </c>
      <c r="I34" s="98">
        <v>200</v>
      </c>
      <c r="J34" s="99">
        <v>5.7</v>
      </c>
      <c r="K34" s="100">
        <f>H34*I34*J34*12</f>
        <v>21888000</v>
      </c>
      <c r="L34" s="101"/>
      <c r="M34" s="101"/>
      <c r="N34" s="65"/>
      <c r="O34" s="437">
        <f>K36</f>
        <v>40704000</v>
      </c>
      <c r="P34" s="170" t="s">
        <v>24</v>
      </c>
      <c r="Q34" s="100">
        <f>K36-Q35</f>
        <v>37040640</v>
      </c>
      <c r="R34" s="240"/>
      <c r="S34" s="109">
        <f>Q25-Q34</f>
        <v>-5501400</v>
      </c>
      <c r="T34" s="9"/>
    </row>
    <row r="35" spans="1:23" s="5" customFormat="1" ht="27" customHeight="1" x14ac:dyDescent="0.25">
      <c r="A35" s="399"/>
      <c r="B35" s="424"/>
      <c r="C35" s="425"/>
      <c r="D35" s="442"/>
      <c r="E35" s="381"/>
      <c r="F35" s="32" t="s">
        <v>25</v>
      </c>
      <c r="G35" s="76">
        <v>0.5</v>
      </c>
      <c r="H35" s="89">
        <f>G35*E34</f>
        <v>1600</v>
      </c>
      <c r="I35" s="78">
        <v>200</v>
      </c>
      <c r="J35" s="87">
        <v>4.9000000000000004</v>
      </c>
      <c r="K35" s="84">
        <f>H35*I35*J35*12</f>
        <v>18816000</v>
      </c>
      <c r="L35" s="31"/>
      <c r="M35" s="31"/>
      <c r="N35" s="30"/>
      <c r="O35" s="394"/>
      <c r="P35" s="180" t="s">
        <v>36</v>
      </c>
      <c r="Q35" s="106">
        <f>K36*0.09</f>
        <v>3663360</v>
      </c>
      <c r="R35" s="162"/>
      <c r="S35" s="103"/>
      <c r="T35" s="9"/>
    </row>
    <row r="36" spans="1:23" s="5" customFormat="1" ht="27" customHeight="1" thickBot="1" x14ac:dyDescent="0.3">
      <c r="A36" s="399"/>
      <c r="B36" s="424"/>
      <c r="C36" s="425"/>
      <c r="D36" s="442"/>
      <c r="E36" s="381"/>
      <c r="F36" s="441" t="s">
        <v>30</v>
      </c>
      <c r="G36" s="441"/>
      <c r="H36" s="441"/>
      <c r="I36" s="441"/>
      <c r="J36" s="441"/>
      <c r="K36" s="85">
        <f>K34+K35</f>
        <v>40704000</v>
      </c>
      <c r="L36" s="68"/>
      <c r="M36" s="68"/>
      <c r="N36" s="67"/>
      <c r="O36" s="395"/>
      <c r="P36" s="195" t="s">
        <v>29</v>
      </c>
      <c r="Q36" s="104">
        <v>0</v>
      </c>
      <c r="R36" s="238"/>
      <c r="S36" s="105">
        <v>0</v>
      </c>
      <c r="T36" s="9"/>
    </row>
    <row r="37" spans="1:23" s="5" customFormat="1" ht="27" customHeight="1" x14ac:dyDescent="0.25">
      <c r="A37" s="399"/>
      <c r="B37" s="426"/>
      <c r="C37" s="427"/>
      <c r="D37" s="377" t="s">
        <v>31</v>
      </c>
      <c r="E37" s="444">
        <v>3270</v>
      </c>
      <c r="F37" s="62" t="s">
        <v>23</v>
      </c>
      <c r="G37" s="70">
        <v>0.5</v>
      </c>
      <c r="H37" s="92">
        <f>E37*G37</f>
        <v>1635</v>
      </c>
      <c r="I37" s="72">
        <v>200</v>
      </c>
      <c r="J37" s="86">
        <v>5.7</v>
      </c>
      <c r="K37" s="83">
        <f>H37*I37*J37*12</f>
        <v>22366800</v>
      </c>
      <c r="L37" s="94"/>
      <c r="M37" s="94"/>
      <c r="N37" s="63"/>
      <c r="O37" s="393">
        <f>K39</f>
        <v>41594400</v>
      </c>
      <c r="P37" s="170" t="s">
        <v>24</v>
      </c>
      <c r="Q37" s="83">
        <f>K39-Q38</f>
        <v>37850904</v>
      </c>
      <c r="R37" s="236"/>
      <c r="S37" s="102">
        <f>Q25-Q37</f>
        <v>-6311664</v>
      </c>
      <c r="T37" s="9"/>
    </row>
    <row r="38" spans="1:23" s="5" customFormat="1" ht="27" customHeight="1" x14ac:dyDescent="0.25">
      <c r="A38" s="399"/>
      <c r="B38" s="424"/>
      <c r="C38" s="425"/>
      <c r="D38" s="442"/>
      <c r="E38" s="381"/>
      <c r="F38" s="32" t="s">
        <v>25</v>
      </c>
      <c r="G38" s="76">
        <v>0.5</v>
      </c>
      <c r="H38" s="89">
        <f>G38*E37</f>
        <v>1635</v>
      </c>
      <c r="I38" s="78">
        <v>200</v>
      </c>
      <c r="J38" s="87">
        <v>4.9000000000000004</v>
      </c>
      <c r="K38" s="84">
        <f>H38*I38*J38*12</f>
        <v>19227600</v>
      </c>
      <c r="L38" s="31"/>
      <c r="M38" s="31"/>
      <c r="N38" s="30"/>
      <c r="O38" s="394"/>
      <c r="P38" s="180" t="s">
        <v>36</v>
      </c>
      <c r="Q38" s="106">
        <f>K39*0.09</f>
        <v>3743496</v>
      </c>
      <c r="R38" s="162"/>
      <c r="S38" s="103"/>
      <c r="T38" s="9"/>
    </row>
    <row r="39" spans="1:23" s="5" customFormat="1" ht="27" customHeight="1" thickBot="1" x14ac:dyDescent="0.3">
      <c r="A39" s="400"/>
      <c r="B39" s="428"/>
      <c r="C39" s="429"/>
      <c r="D39" s="443"/>
      <c r="E39" s="445"/>
      <c r="F39" s="435" t="s">
        <v>30</v>
      </c>
      <c r="G39" s="435"/>
      <c r="H39" s="435"/>
      <c r="I39" s="435"/>
      <c r="J39" s="435"/>
      <c r="K39" s="88">
        <f>K37+K38</f>
        <v>41594400</v>
      </c>
      <c r="L39" s="66"/>
      <c r="M39" s="66"/>
      <c r="N39" s="64"/>
      <c r="O39" s="436"/>
      <c r="P39" s="196" t="s">
        <v>29</v>
      </c>
      <c r="Q39" s="107">
        <v>0</v>
      </c>
      <c r="R39" s="239"/>
      <c r="S39" s="108">
        <f>Q39-Q36</f>
        <v>0</v>
      </c>
    </row>
    <row r="40" spans="1:23" s="5" customFormat="1" ht="11.25" customHeight="1" x14ac:dyDescent="0.25">
      <c r="A40" s="448"/>
      <c r="B40" s="449"/>
      <c r="C40" s="449"/>
      <c r="D40" s="449"/>
      <c r="E40" s="449"/>
      <c r="F40" s="449"/>
      <c r="G40" s="449"/>
      <c r="H40" s="449"/>
      <c r="I40" s="449"/>
      <c r="J40" s="449"/>
      <c r="K40" s="449"/>
      <c r="L40" s="449"/>
      <c r="M40" s="449"/>
      <c r="N40" s="449"/>
      <c r="O40" s="449"/>
      <c r="P40" s="449"/>
      <c r="Q40" s="449"/>
      <c r="R40" s="449"/>
      <c r="S40" s="449"/>
    </row>
    <row r="41" spans="1:23" s="5" customFormat="1" ht="72" x14ac:dyDescent="0.25">
      <c r="A41" s="382" t="s">
        <v>37</v>
      </c>
      <c r="B41" s="471" t="s">
        <v>38</v>
      </c>
      <c r="C41" s="471"/>
      <c r="D41" s="29" t="s">
        <v>3</v>
      </c>
      <c r="E41" s="110" t="s">
        <v>39</v>
      </c>
      <c r="F41" s="466"/>
      <c r="G41" s="114" t="s">
        <v>40</v>
      </c>
      <c r="H41" s="114" t="s">
        <v>41</v>
      </c>
      <c r="I41" s="114" t="s">
        <v>14</v>
      </c>
      <c r="J41" s="115" t="s">
        <v>42</v>
      </c>
      <c r="K41" s="115" t="s">
        <v>43</v>
      </c>
      <c r="L41" s="115" t="s">
        <v>44</v>
      </c>
      <c r="M41" s="116" t="s">
        <v>158</v>
      </c>
      <c r="N41" s="115" t="s">
        <v>14</v>
      </c>
      <c r="O41" s="117" t="s">
        <v>45</v>
      </c>
      <c r="P41" s="61" t="s">
        <v>18</v>
      </c>
      <c r="Q41" s="61" t="s">
        <v>19</v>
      </c>
      <c r="R41" s="61"/>
      <c r="S41" s="61" t="s">
        <v>20</v>
      </c>
      <c r="T41" s="9"/>
    </row>
    <row r="42" spans="1:23" s="5" customFormat="1" ht="27" customHeight="1" x14ac:dyDescent="0.25">
      <c r="A42" s="382"/>
      <c r="B42" s="475"/>
      <c r="C42" s="475"/>
      <c r="D42" s="352">
        <v>2023</v>
      </c>
      <c r="E42" s="461">
        <v>14134</v>
      </c>
      <c r="F42" s="467"/>
      <c r="G42" s="474">
        <f>E42</f>
        <v>14134</v>
      </c>
      <c r="H42" s="470">
        <v>1300</v>
      </c>
      <c r="I42" s="470">
        <f>G42*H42*12</f>
        <v>220490400</v>
      </c>
      <c r="J42" s="326">
        <v>6165</v>
      </c>
      <c r="K42" s="326">
        <v>27379</v>
      </c>
      <c r="L42" s="326">
        <v>4</v>
      </c>
      <c r="M42" s="327">
        <f>N42/5587</f>
        <v>14992.930016108825</v>
      </c>
      <c r="N42" s="328">
        <v>83765500</v>
      </c>
      <c r="O42" s="323">
        <f>I42</f>
        <v>220490400</v>
      </c>
      <c r="P42" s="112" t="s">
        <v>24</v>
      </c>
      <c r="Q42" s="164">
        <f>I42-Q43</f>
        <v>158753088</v>
      </c>
      <c r="R42" s="241"/>
      <c r="S42" s="17"/>
      <c r="T42" s="9"/>
    </row>
    <row r="43" spans="1:23" s="5" customFormat="1" ht="27" customHeight="1" x14ac:dyDescent="0.25">
      <c r="A43" s="382"/>
      <c r="B43" s="475"/>
      <c r="C43" s="475"/>
      <c r="D43" s="352"/>
      <c r="E43" s="461"/>
      <c r="F43" s="467"/>
      <c r="G43" s="474"/>
      <c r="H43" s="470"/>
      <c r="I43" s="470"/>
      <c r="J43" s="326"/>
      <c r="K43" s="326"/>
      <c r="L43" s="326"/>
      <c r="M43" s="327"/>
      <c r="N43" s="328"/>
      <c r="O43" s="324"/>
      <c r="P43" s="197" t="s">
        <v>132</v>
      </c>
      <c r="Q43" s="162">
        <f>I42*0.28</f>
        <v>61737312.000000007</v>
      </c>
      <c r="R43" s="242"/>
      <c r="S43" s="161"/>
      <c r="T43" s="165"/>
    </row>
    <row r="44" spans="1:23" s="5" customFormat="1" ht="27" customHeight="1" x14ac:dyDescent="0.25">
      <c r="A44" s="382"/>
      <c r="B44" s="475"/>
      <c r="C44" s="475"/>
      <c r="D44" s="352"/>
      <c r="E44" s="461"/>
      <c r="F44" s="467"/>
      <c r="G44" s="474"/>
      <c r="H44" s="470"/>
      <c r="I44" s="470"/>
      <c r="J44" s="326"/>
      <c r="K44" s="326"/>
      <c r="L44" s="326"/>
      <c r="M44" s="327"/>
      <c r="N44" s="328"/>
      <c r="O44" s="325"/>
      <c r="P44" s="113" t="s">
        <v>29</v>
      </c>
      <c r="Q44" s="163">
        <f>N42</f>
        <v>83765500</v>
      </c>
      <c r="R44" s="243"/>
      <c r="S44" s="18"/>
      <c r="T44" s="9"/>
    </row>
    <row r="45" spans="1:23" s="5" customFormat="1" ht="27" customHeight="1" x14ac:dyDescent="0.25">
      <c r="A45" s="382"/>
      <c r="B45" s="473" t="s">
        <v>46</v>
      </c>
      <c r="C45" s="473"/>
      <c r="D45" s="353">
        <v>2024</v>
      </c>
      <c r="E45" s="456">
        <v>16001</v>
      </c>
      <c r="F45" s="467"/>
      <c r="G45" s="469">
        <f>E45</f>
        <v>16001</v>
      </c>
      <c r="H45" s="460">
        <v>1300</v>
      </c>
      <c r="I45" s="460">
        <f>G45*H45*12</f>
        <v>249615600</v>
      </c>
      <c r="J45" s="329">
        <f>J42-1867</f>
        <v>4298</v>
      </c>
      <c r="K45" s="329">
        <f>K42*J45/J42</f>
        <v>19087.581832927819</v>
      </c>
      <c r="L45" s="464">
        <v>3</v>
      </c>
      <c r="M45" s="465">
        <f>M42</f>
        <v>14992.930016108825</v>
      </c>
      <c r="N45" s="328">
        <f>M45*J45</f>
        <v>64439613.209235728</v>
      </c>
      <c r="O45" s="376">
        <f>I45</f>
        <v>249615600</v>
      </c>
      <c r="P45" s="112" t="s">
        <v>24</v>
      </c>
      <c r="Q45" s="164">
        <f>I45-Q46</f>
        <v>187211700</v>
      </c>
      <c r="R45" s="241"/>
      <c r="S45" s="17">
        <f>Q42-Q45</f>
        <v>-28458612</v>
      </c>
      <c r="T45" s="9"/>
      <c r="W45" s="155"/>
    </row>
    <row r="46" spans="1:23" s="5" customFormat="1" ht="27" customHeight="1" x14ac:dyDescent="0.25">
      <c r="A46" s="382"/>
      <c r="B46" s="473"/>
      <c r="C46" s="473"/>
      <c r="D46" s="442"/>
      <c r="E46" s="457"/>
      <c r="F46" s="467"/>
      <c r="G46" s="469"/>
      <c r="H46" s="460"/>
      <c r="I46" s="460"/>
      <c r="J46" s="329"/>
      <c r="K46" s="329"/>
      <c r="L46" s="464"/>
      <c r="M46" s="465"/>
      <c r="N46" s="328"/>
      <c r="O46" s="376"/>
      <c r="P46" s="197" t="s">
        <v>133</v>
      </c>
      <c r="Q46" s="162">
        <f>I45*0.25</f>
        <v>62403900</v>
      </c>
      <c r="R46" s="242"/>
      <c r="S46" s="161"/>
      <c r="T46" s="165"/>
      <c r="W46" s="157"/>
    </row>
    <row r="47" spans="1:23" s="5" customFormat="1" ht="27" customHeight="1" x14ac:dyDescent="0.25">
      <c r="A47" s="382"/>
      <c r="B47" s="473"/>
      <c r="C47" s="473"/>
      <c r="D47" s="459"/>
      <c r="E47" s="458"/>
      <c r="F47" s="467"/>
      <c r="G47" s="469"/>
      <c r="H47" s="460"/>
      <c r="I47" s="460"/>
      <c r="J47" s="329"/>
      <c r="K47" s="329"/>
      <c r="L47" s="464"/>
      <c r="M47" s="465"/>
      <c r="N47" s="328"/>
      <c r="O47" s="376"/>
      <c r="P47" s="113" t="s">
        <v>29</v>
      </c>
      <c r="Q47" s="111">
        <f>N45</f>
        <v>64439613.209235728</v>
      </c>
      <c r="R47" s="166"/>
      <c r="S47" s="166">
        <f>Q44-Q47</f>
        <v>19325886.790764272</v>
      </c>
      <c r="T47" s="9"/>
    </row>
    <row r="48" spans="1:23" s="5" customFormat="1" ht="27" customHeight="1" x14ac:dyDescent="0.25">
      <c r="A48" s="382"/>
      <c r="B48" s="472"/>
      <c r="C48" s="472"/>
      <c r="D48" s="353">
        <v>2025</v>
      </c>
      <c r="E48" s="456">
        <v>16001</v>
      </c>
      <c r="F48" s="467"/>
      <c r="G48" s="469">
        <f>E48</f>
        <v>16001</v>
      </c>
      <c r="H48" s="460">
        <v>1300</v>
      </c>
      <c r="I48" s="541">
        <f>G48*H48*12</f>
        <v>249615600</v>
      </c>
      <c r="J48" s="329">
        <f>J45</f>
        <v>4298</v>
      </c>
      <c r="K48" s="329">
        <f>K45*(12/L48)/(12/L45)</f>
        <v>28631.372749391729</v>
      </c>
      <c r="L48" s="464">
        <v>2</v>
      </c>
      <c r="M48" s="465">
        <f>M45</f>
        <v>14992.930016108825</v>
      </c>
      <c r="N48" s="328">
        <f t="shared" ref="N48" si="0">M48*J48</f>
        <v>64439613.209235728</v>
      </c>
      <c r="O48" s="376">
        <f>I48</f>
        <v>249615600</v>
      </c>
      <c r="P48" s="112" t="s">
        <v>24</v>
      </c>
      <c r="Q48" s="84">
        <f>I48-Q49</f>
        <v>187211700</v>
      </c>
      <c r="R48" s="84"/>
      <c r="S48" s="84">
        <f>Q42-Q48</f>
        <v>-28458612</v>
      </c>
      <c r="T48" s="9"/>
    </row>
    <row r="49" spans="1:26" s="5" customFormat="1" ht="27" customHeight="1" x14ac:dyDescent="0.25">
      <c r="A49" s="382"/>
      <c r="B49" s="472"/>
      <c r="C49" s="472"/>
      <c r="D49" s="442"/>
      <c r="E49" s="457"/>
      <c r="F49" s="467"/>
      <c r="G49" s="469"/>
      <c r="H49" s="460"/>
      <c r="I49" s="541"/>
      <c r="J49" s="329"/>
      <c r="K49" s="329"/>
      <c r="L49" s="464"/>
      <c r="M49" s="465"/>
      <c r="N49" s="328"/>
      <c r="O49" s="376"/>
      <c r="P49" s="197" t="s">
        <v>133</v>
      </c>
      <c r="Q49" s="106">
        <f>I48*0.25</f>
        <v>62403900</v>
      </c>
      <c r="R49" s="106"/>
      <c r="S49" s="106"/>
    </row>
    <row r="50" spans="1:26" s="5" customFormat="1" ht="27" customHeight="1" x14ac:dyDescent="0.25">
      <c r="A50" s="382"/>
      <c r="B50" s="472"/>
      <c r="C50" s="472"/>
      <c r="D50" s="459"/>
      <c r="E50" s="458"/>
      <c r="F50" s="467"/>
      <c r="G50" s="469"/>
      <c r="H50" s="460"/>
      <c r="I50" s="541"/>
      <c r="J50" s="329"/>
      <c r="K50" s="329"/>
      <c r="L50" s="464"/>
      <c r="M50" s="465"/>
      <c r="N50" s="328"/>
      <c r="O50" s="376"/>
      <c r="P50" s="113" t="s">
        <v>29</v>
      </c>
      <c r="Q50" s="111">
        <f>N48</f>
        <v>64439613.209235728</v>
      </c>
      <c r="R50" s="111"/>
      <c r="S50" s="111">
        <f>Q44-Q50</f>
        <v>19325886.790764272</v>
      </c>
      <c r="T50" s="9"/>
    </row>
    <row r="51" spans="1:26" s="5" customFormat="1" ht="27" customHeight="1" x14ac:dyDescent="0.25">
      <c r="A51" s="382"/>
      <c r="B51" s="473" t="s">
        <v>47</v>
      </c>
      <c r="C51" s="473"/>
      <c r="D51" s="353">
        <v>2026</v>
      </c>
      <c r="E51" s="456">
        <v>16201</v>
      </c>
      <c r="F51" s="467"/>
      <c r="G51" s="469">
        <f>E51</f>
        <v>16201</v>
      </c>
      <c r="H51" s="460">
        <v>1300</v>
      </c>
      <c r="I51" s="541">
        <f>G51*H51*12</f>
        <v>252735600</v>
      </c>
      <c r="J51" s="329">
        <f t="shared" ref="J51" si="1">J48</f>
        <v>4298</v>
      </c>
      <c r="K51" s="329">
        <f t="shared" ref="K51" si="2">K48*(12/L51)/(12/L48)</f>
        <v>57262.745498783457</v>
      </c>
      <c r="L51" s="464">
        <v>1</v>
      </c>
      <c r="M51" s="465">
        <f>M48</f>
        <v>14992.930016108825</v>
      </c>
      <c r="N51" s="328">
        <f t="shared" ref="N51" si="3">M51*J51</f>
        <v>64439613.209235728</v>
      </c>
      <c r="O51" s="376">
        <f t="shared" ref="O51" si="4">I51</f>
        <v>252735600</v>
      </c>
      <c r="P51" s="112" t="s">
        <v>24</v>
      </c>
      <c r="Q51" s="84">
        <f>I51-Q52</f>
        <v>189551700</v>
      </c>
      <c r="R51" s="84"/>
      <c r="S51" s="84">
        <f>Q42-Q51</f>
        <v>-30798612</v>
      </c>
      <c r="T51" s="9"/>
    </row>
    <row r="52" spans="1:26" s="5" customFormat="1" ht="27" customHeight="1" x14ac:dyDescent="0.25">
      <c r="A52" s="382"/>
      <c r="B52" s="473"/>
      <c r="C52" s="473"/>
      <c r="D52" s="442"/>
      <c r="E52" s="457"/>
      <c r="F52" s="467"/>
      <c r="G52" s="469"/>
      <c r="H52" s="460"/>
      <c r="I52" s="541"/>
      <c r="J52" s="329"/>
      <c r="K52" s="329"/>
      <c r="L52" s="464"/>
      <c r="M52" s="465"/>
      <c r="N52" s="328"/>
      <c r="O52" s="376"/>
      <c r="P52" s="197" t="s">
        <v>133</v>
      </c>
      <c r="Q52" s="106">
        <f>I51*0.25</f>
        <v>63183900</v>
      </c>
      <c r="R52" s="106"/>
      <c r="S52" s="106"/>
    </row>
    <row r="53" spans="1:26" s="5" customFormat="1" ht="27" customHeight="1" x14ac:dyDescent="0.25">
      <c r="A53" s="382"/>
      <c r="B53" s="473"/>
      <c r="C53" s="473"/>
      <c r="D53" s="459"/>
      <c r="E53" s="458"/>
      <c r="F53" s="467"/>
      <c r="G53" s="469"/>
      <c r="H53" s="460"/>
      <c r="I53" s="541"/>
      <c r="J53" s="329"/>
      <c r="K53" s="329"/>
      <c r="L53" s="464"/>
      <c r="M53" s="465"/>
      <c r="N53" s="328"/>
      <c r="O53" s="376"/>
      <c r="P53" s="113" t="s">
        <v>29</v>
      </c>
      <c r="Q53" s="111">
        <f>N51</f>
        <v>64439613.209235728</v>
      </c>
      <c r="R53" s="111"/>
      <c r="S53" s="111">
        <f>Q44-Q53</f>
        <v>19325886.790764272</v>
      </c>
      <c r="T53" s="9"/>
    </row>
    <row r="54" spans="1:26" s="5" customFormat="1" ht="27" customHeight="1" x14ac:dyDescent="0.25">
      <c r="A54" s="382"/>
      <c r="B54" s="476" t="s">
        <v>48</v>
      </c>
      <c r="C54" s="477"/>
      <c r="D54" s="353" t="s">
        <v>31</v>
      </c>
      <c r="E54" s="456">
        <v>16500</v>
      </c>
      <c r="F54" s="467"/>
      <c r="G54" s="469">
        <f>E54</f>
        <v>16500</v>
      </c>
      <c r="H54" s="460">
        <v>1300</v>
      </c>
      <c r="I54" s="541">
        <f>G54*H54*12</f>
        <v>257400000</v>
      </c>
      <c r="J54" s="329">
        <f t="shared" ref="J54" si="5">J51</f>
        <v>4298</v>
      </c>
      <c r="K54" s="329">
        <f t="shared" ref="K54" si="6">K51*(12/L54)/(12/L51)</f>
        <v>57262.745498783457</v>
      </c>
      <c r="L54" s="464">
        <v>1</v>
      </c>
      <c r="M54" s="465">
        <f>M51</f>
        <v>14992.930016108825</v>
      </c>
      <c r="N54" s="328">
        <f>M54*J54</f>
        <v>64439613.209235728</v>
      </c>
      <c r="O54" s="376">
        <f t="shared" ref="O54" si="7">I54</f>
        <v>257400000</v>
      </c>
      <c r="P54" s="112" t="s">
        <v>24</v>
      </c>
      <c r="Q54" s="84">
        <f>I54-Q55</f>
        <v>193050000</v>
      </c>
      <c r="R54" s="84"/>
      <c r="S54" s="84">
        <f>Q42-Q54</f>
        <v>-34296912</v>
      </c>
      <c r="T54" s="9"/>
    </row>
    <row r="55" spans="1:26" s="5" customFormat="1" ht="27" customHeight="1" x14ac:dyDescent="0.25">
      <c r="A55" s="382"/>
      <c r="B55" s="478"/>
      <c r="C55" s="479"/>
      <c r="D55" s="442"/>
      <c r="E55" s="457"/>
      <c r="F55" s="467"/>
      <c r="G55" s="469"/>
      <c r="H55" s="460"/>
      <c r="I55" s="541"/>
      <c r="J55" s="329"/>
      <c r="K55" s="329"/>
      <c r="L55" s="464"/>
      <c r="M55" s="465"/>
      <c r="N55" s="328"/>
      <c r="O55" s="376"/>
      <c r="P55" s="197" t="s">
        <v>133</v>
      </c>
      <c r="Q55" s="106">
        <f>I54*0.25</f>
        <v>64350000</v>
      </c>
      <c r="R55" s="106"/>
      <c r="S55" s="106"/>
    </row>
    <row r="56" spans="1:26" s="5" customFormat="1" ht="27" customHeight="1" x14ac:dyDescent="0.25">
      <c r="A56" s="383"/>
      <c r="B56" s="480"/>
      <c r="C56" s="481"/>
      <c r="D56" s="459"/>
      <c r="E56" s="458"/>
      <c r="F56" s="468"/>
      <c r="G56" s="469"/>
      <c r="H56" s="460"/>
      <c r="I56" s="541"/>
      <c r="J56" s="329"/>
      <c r="K56" s="329"/>
      <c r="L56" s="464"/>
      <c r="M56" s="465"/>
      <c r="N56" s="328"/>
      <c r="O56" s="376"/>
      <c r="P56" s="113" t="s">
        <v>29</v>
      </c>
      <c r="Q56" s="111">
        <f>N54</f>
        <v>64439613.209235728</v>
      </c>
      <c r="R56" s="111"/>
      <c r="S56" s="111">
        <f>Q44-Q56</f>
        <v>19325886.790764272</v>
      </c>
      <c r="T56" s="9"/>
    </row>
    <row r="57" spans="1:26" s="5" customFormat="1" ht="11.25" customHeight="1" x14ac:dyDescent="0.25">
      <c r="A57" s="374"/>
      <c r="B57" s="375"/>
      <c r="C57" s="375"/>
      <c r="D57" s="375"/>
      <c r="E57" s="375"/>
      <c r="F57" s="375"/>
      <c r="G57" s="375"/>
      <c r="H57" s="375"/>
      <c r="I57" s="375"/>
      <c r="J57" s="375"/>
      <c r="K57" s="375"/>
      <c r="L57" s="375"/>
      <c r="M57" s="375"/>
      <c r="N57" s="375"/>
      <c r="O57" s="375"/>
      <c r="P57" s="375"/>
      <c r="Q57" s="375"/>
      <c r="R57" s="375"/>
      <c r="S57" s="375"/>
      <c r="T57" s="9"/>
    </row>
    <row r="59" spans="1:26" ht="14.4" x14ac:dyDescent="0.3">
      <c r="B59" s="330" t="s">
        <v>159</v>
      </c>
      <c r="C59" s="330"/>
      <c r="D59" s="330"/>
      <c r="E59" s="330"/>
      <c r="F59" s="330"/>
      <c r="G59" s="330"/>
      <c r="H59" s="330"/>
      <c r="I59" s="330"/>
      <c r="J59" s="330"/>
      <c r="K59" s="330"/>
      <c r="L59" s="330"/>
      <c r="M59" s="330"/>
    </row>
    <row r="60" spans="1:26" ht="14.4" x14ac:dyDescent="0.3">
      <c r="A60" s="133"/>
      <c r="B60" s="330"/>
      <c r="C60" s="330"/>
      <c r="D60" s="330"/>
      <c r="E60" s="330"/>
      <c r="F60" s="330"/>
      <c r="G60" s="330"/>
      <c r="H60" s="330"/>
      <c r="I60" s="330"/>
      <c r="J60" s="330"/>
      <c r="K60" s="330"/>
      <c r="L60" s="330"/>
      <c r="M60" s="330"/>
      <c r="N60" s="125"/>
      <c r="O60" s="120"/>
      <c r="P60" s="123"/>
      <c r="Q60" s="123"/>
      <c r="R60" s="123"/>
      <c r="S60" s="123"/>
      <c r="T60" s="123"/>
      <c r="U60" s="123"/>
      <c r="V60" s="123"/>
      <c r="W60" s="123"/>
      <c r="X60" s="123"/>
      <c r="Y60" s="123"/>
      <c r="Z60" s="123"/>
    </row>
    <row r="61" spans="1:26" ht="14.4" x14ac:dyDescent="0.3">
      <c r="A61" s="123"/>
      <c r="B61" s="123"/>
      <c r="C61" s="127"/>
      <c r="D61" s="127"/>
      <c r="E61" s="129"/>
      <c r="F61" s="129"/>
      <c r="G61" s="129"/>
      <c r="H61" s="140"/>
      <c r="I61" s="120"/>
      <c r="J61" s="120"/>
      <c r="K61" s="120"/>
      <c r="L61" s="120"/>
      <c r="M61" s="120"/>
      <c r="N61" s="125"/>
      <c r="O61" s="120"/>
      <c r="P61" s="123"/>
      <c r="Q61" s="123"/>
      <c r="R61" s="123"/>
      <c r="S61" s="123"/>
      <c r="T61" s="123"/>
      <c r="U61" s="123"/>
      <c r="V61" s="123"/>
      <c r="W61" s="123"/>
      <c r="X61" s="123"/>
      <c r="Y61" s="123"/>
      <c r="Z61" s="123"/>
    </row>
    <row r="62" spans="1:26" ht="14.4" x14ac:dyDescent="0.3">
      <c r="A62" s="123"/>
      <c r="B62" s="123"/>
      <c r="C62" s="123"/>
      <c r="D62" s="121"/>
      <c r="E62" s="120"/>
      <c r="F62" s="120"/>
      <c r="G62" s="120"/>
      <c r="H62" s="120"/>
      <c r="I62" s="120"/>
      <c r="J62" s="120"/>
      <c r="K62" s="120"/>
      <c r="L62" s="120" t="s">
        <v>152</v>
      </c>
      <c r="M62" s="120"/>
      <c r="N62" s="125"/>
      <c r="O62" s="120"/>
      <c r="P62" s="123"/>
      <c r="Q62" s="123"/>
      <c r="R62" s="123"/>
      <c r="S62" s="123"/>
      <c r="T62" s="123"/>
      <c r="U62" s="123"/>
      <c r="V62" s="123"/>
      <c r="W62" s="123"/>
      <c r="X62" s="123"/>
      <c r="Y62" s="123"/>
      <c r="Z62" s="123"/>
    </row>
    <row r="63" spans="1:26" ht="14.4" x14ac:dyDescent="0.3">
      <c r="A63" s="123"/>
      <c r="B63" s="123"/>
      <c r="C63" s="123"/>
      <c r="D63" s="121"/>
      <c r="E63" s="120"/>
      <c r="F63" s="120"/>
      <c r="G63" s="120"/>
      <c r="H63" s="120"/>
      <c r="I63" s="120"/>
      <c r="J63" s="120"/>
      <c r="K63" s="120"/>
      <c r="L63" s="120"/>
      <c r="M63" s="120"/>
      <c r="N63" s="120"/>
      <c r="O63" s="120"/>
      <c r="P63" s="123"/>
      <c r="Q63" s="123"/>
      <c r="R63" s="123"/>
      <c r="S63" s="123"/>
      <c r="T63" s="123"/>
      <c r="U63" s="123"/>
      <c r="V63" s="123"/>
      <c r="W63" s="123"/>
      <c r="X63" s="123"/>
      <c r="Y63" s="123"/>
      <c r="Z63" s="123"/>
    </row>
    <row r="64" spans="1:26" ht="14.4" x14ac:dyDescent="0.3">
      <c r="A64" s="123"/>
      <c r="B64" s="123"/>
      <c r="C64" s="123"/>
      <c r="D64" s="121"/>
      <c r="E64" s="120"/>
      <c r="F64" s="120"/>
      <c r="G64" s="120"/>
      <c r="H64" s="120"/>
      <c r="I64" s="120"/>
      <c r="J64" s="120"/>
      <c r="K64" s="120"/>
      <c r="L64" s="120"/>
      <c r="M64" s="120"/>
      <c r="N64" s="120"/>
      <c r="O64" s="120"/>
      <c r="P64" s="123"/>
      <c r="Q64" s="123"/>
      <c r="R64" s="123"/>
      <c r="S64" s="123"/>
      <c r="T64" s="123"/>
      <c r="U64" s="123"/>
      <c r="V64" s="123"/>
      <c r="W64" s="123"/>
      <c r="X64" s="123"/>
      <c r="Y64" s="123"/>
      <c r="Z64" s="123"/>
    </row>
    <row r="65" spans="1:26" ht="14.4" x14ac:dyDescent="0.3">
      <c r="A65" s="123"/>
      <c r="B65" s="123"/>
      <c r="C65" s="123"/>
      <c r="D65" s="121"/>
      <c r="E65" s="120"/>
      <c r="F65" s="120"/>
      <c r="G65" s="120"/>
      <c r="H65" s="120"/>
      <c r="I65" s="120"/>
      <c r="J65" s="120"/>
      <c r="K65" s="120"/>
      <c r="L65" s="120"/>
      <c r="M65" s="120"/>
      <c r="N65" s="120"/>
      <c r="O65" s="120"/>
      <c r="P65" s="123"/>
      <c r="Q65" s="123"/>
      <c r="R65" s="123"/>
      <c r="S65" s="123"/>
      <c r="T65" s="123"/>
      <c r="U65" s="123"/>
      <c r="V65" s="123"/>
      <c r="W65" s="123"/>
      <c r="X65" s="123"/>
      <c r="Y65" s="123"/>
      <c r="Z65" s="123"/>
    </row>
    <row r="66" spans="1:26" ht="14.4" x14ac:dyDescent="0.3">
      <c r="A66" s="123"/>
      <c r="B66" s="123"/>
      <c r="C66" s="123"/>
      <c r="D66" s="121"/>
      <c r="E66" s="120"/>
      <c r="F66" s="120"/>
      <c r="G66" s="120"/>
      <c r="H66" s="120"/>
      <c r="I66" s="120"/>
      <c r="J66" s="120"/>
      <c r="K66" s="120"/>
      <c r="L66" s="120"/>
      <c r="M66" s="120"/>
      <c r="N66" s="120"/>
      <c r="O66" s="120"/>
      <c r="P66" s="123"/>
      <c r="Q66" s="123"/>
      <c r="R66" s="123"/>
      <c r="S66" s="123"/>
      <c r="T66" s="123"/>
      <c r="U66" s="123"/>
      <c r="V66" s="123"/>
      <c r="W66" s="123"/>
      <c r="X66" s="123"/>
      <c r="Y66" s="123"/>
      <c r="Z66" s="123"/>
    </row>
  </sheetData>
  <mergeCells count="143">
    <mergeCell ref="K54:K56"/>
    <mergeCell ref="L54:L56"/>
    <mergeCell ref="M54:M56"/>
    <mergeCell ref="N54:N56"/>
    <mergeCell ref="O54:O56"/>
    <mergeCell ref="A57:S57"/>
    <mergeCell ref="M51:M53"/>
    <mergeCell ref="N51:N53"/>
    <mergeCell ref="O51:O53"/>
    <mergeCell ref="B54:C56"/>
    <mergeCell ref="D54:D56"/>
    <mergeCell ref="E54:E56"/>
    <mergeCell ref="G54:G56"/>
    <mergeCell ref="H54:H56"/>
    <mergeCell ref="I54:I56"/>
    <mergeCell ref="J54:J56"/>
    <mergeCell ref="A41:A56"/>
    <mergeCell ref="B41:C41"/>
    <mergeCell ref="O45:O47"/>
    <mergeCell ref="B48:C50"/>
    <mergeCell ref="D48:D50"/>
    <mergeCell ref="E48:E50"/>
    <mergeCell ref="G48:G50"/>
    <mergeCell ref="H48:H50"/>
    <mergeCell ref="O48:O50"/>
    <mergeCell ref="B51:C53"/>
    <mergeCell ref="D51:D53"/>
    <mergeCell ref="E51:E53"/>
    <mergeCell ref="G51:G53"/>
    <mergeCell ref="H51:H53"/>
    <mergeCell ref="I51:I53"/>
    <mergeCell ref="J51:J53"/>
    <mergeCell ref="K51:K53"/>
    <mergeCell ref="L51:L53"/>
    <mergeCell ref="I48:I50"/>
    <mergeCell ref="J48:J50"/>
    <mergeCell ref="K48:K50"/>
    <mergeCell ref="L48:L50"/>
    <mergeCell ref="M48:M50"/>
    <mergeCell ref="N48:N50"/>
    <mergeCell ref="M42:M44"/>
    <mergeCell ref="N42:N44"/>
    <mergeCell ref="O42:O44"/>
    <mergeCell ref="B45:C47"/>
    <mergeCell ref="D45:D47"/>
    <mergeCell ref="E45:E47"/>
    <mergeCell ref="G45:G47"/>
    <mergeCell ref="H45:H47"/>
    <mergeCell ref="I45:I47"/>
    <mergeCell ref="J45:J47"/>
    <mergeCell ref="G42:G44"/>
    <mergeCell ref="H42:H44"/>
    <mergeCell ref="I42:I44"/>
    <mergeCell ref="J42:J44"/>
    <mergeCell ref="K42:K44"/>
    <mergeCell ref="L42:L44"/>
    <mergeCell ref="F41:F56"/>
    <mergeCell ref="B42:C44"/>
    <mergeCell ref="D42:D44"/>
    <mergeCell ref="E42:E44"/>
    <mergeCell ref="K45:K47"/>
    <mergeCell ref="L45:L47"/>
    <mergeCell ref="M45:M47"/>
    <mergeCell ref="N45:N47"/>
    <mergeCell ref="A40:S40"/>
    <mergeCell ref="B31:C33"/>
    <mergeCell ref="D31:D33"/>
    <mergeCell ref="E31:E33"/>
    <mergeCell ref="O31:O33"/>
    <mergeCell ref="F33:J33"/>
    <mergeCell ref="B34:C36"/>
    <mergeCell ref="D34:D36"/>
    <mergeCell ref="E34:E36"/>
    <mergeCell ref="O34:O36"/>
    <mergeCell ref="F36:J36"/>
    <mergeCell ref="B19:C22"/>
    <mergeCell ref="D19:D22"/>
    <mergeCell ref="E19:E22"/>
    <mergeCell ref="O19:O22"/>
    <mergeCell ref="F22:J22"/>
    <mergeCell ref="L22:M22"/>
    <mergeCell ref="B37:C39"/>
    <mergeCell ref="D37:D39"/>
    <mergeCell ref="E37:E39"/>
    <mergeCell ref="O37:O39"/>
    <mergeCell ref="F39:J39"/>
    <mergeCell ref="B28:B30"/>
    <mergeCell ref="D28:D30"/>
    <mergeCell ref="E28:E30"/>
    <mergeCell ref="O28:O30"/>
    <mergeCell ref="C29:C30"/>
    <mergeCell ref="F30:J30"/>
    <mergeCell ref="A24:A39"/>
    <mergeCell ref="B24:C24"/>
    <mergeCell ref="B25:B27"/>
    <mergeCell ref="C25:C27"/>
    <mergeCell ref="D25:D27"/>
    <mergeCell ref="E25:E27"/>
    <mergeCell ref="O25:O27"/>
    <mergeCell ref="F27:J27"/>
    <mergeCell ref="E15:E18"/>
    <mergeCell ref="O15:O18"/>
    <mergeCell ref="F18:J18"/>
    <mergeCell ref="L18:M18"/>
    <mergeCell ref="F6:J6"/>
    <mergeCell ref="L6:M6"/>
    <mergeCell ref="B7:C10"/>
    <mergeCell ref="D7:D10"/>
    <mergeCell ref="E7:E10"/>
    <mergeCell ref="O7:O10"/>
    <mergeCell ref="F10:J10"/>
    <mergeCell ref="L10:M10"/>
    <mergeCell ref="B11:B14"/>
    <mergeCell ref="C11:C14"/>
    <mergeCell ref="D11:D14"/>
    <mergeCell ref="E11:E14"/>
    <mergeCell ref="O11:O14"/>
    <mergeCell ref="F14:J14"/>
    <mergeCell ref="L14:M14"/>
    <mergeCell ref="O1:T1"/>
    <mergeCell ref="P6:T6"/>
    <mergeCell ref="P10:T10"/>
    <mergeCell ref="P14:T14"/>
    <mergeCell ref="P22:T22"/>
    <mergeCell ref="A23:T23"/>
    <mergeCell ref="P18:T18"/>
    <mergeCell ref="B59:M60"/>
    <mergeCell ref="A3:A22"/>
    <mergeCell ref="B3:B4"/>
    <mergeCell ref="C3:C4"/>
    <mergeCell ref="D3:D6"/>
    <mergeCell ref="E3:E6"/>
    <mergeCell ref="O3:O6"/>
    <mergeCell ref="B5:B6"/>
    <mergeCell ref="C5:C6"/>
    <mergeCell ref="A1:A2"/>
    <mergeCell ref="B1:C2"/>
    <mergeCell ref="D1:D2"/>
    <mergeCell ref="E1:H1"/>
    <mergeCell ref="I1:K1"/>
    <mergeCell ref="L1:N1"/>
    <mergeCell ref="B15:C18"/>
    <mergeCell ref="D15:D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A5B9F-AA8D-4820-9CB9-5C04206A30A7}">
  <dimension ref="A1:AA66"/>
  <sheetViews>
    <sheetView topLeftCell="E4" zoomScale="86" zoomScaleNormal="86" workbookViewId="0">
      <selection activeCell="T20" sqref="T20"/>
    </sheetView>
  </sheetViews>
  <sheetFormatPr defaultColWidth="9.109375" defaultRowHeight="15.6" x14ac:dyDescent="0.3"/>
  <cols>
    <col min="1" max="1" width="13.6640625" style="2" customWidth="1"/>
    <col min="2" max="2" width="30.6640625" style="2" customWidth="1"/>
    <col min="3" max="3" width="17.88671875" style="2" customWidth="1"/>
    <col min="4" max="4" width="11.109375" style="26" customWidth="1"/>
    <col min="5" max="5" width="15.88671875" style="6" customWidth="1"/>
    <col min="6" max="6" width="16.5546875" style="6" customWidth="1"/>
    <col min="7" max="7" width="12.5546875" style="6" customWidth="1"/>
    <col min="8" max="8" width="15.109375" style="6" customWidth="1"/>
    <col min="9" max="9" width="12.33203125" style="6" customWidth="1"/>
    <col min="10" max="10" width="11.109375" style="6" customWidth="1"/>
    <col min="11" max="11" width="12.88671875" style="6" customWidth="1"/>
    <col min="12" max="14" width="12.5546875" style="6" customWidth="1"/>
    <col min="15" max="15" width="14.6640625" style="6" customWidth="1"/>
    <col min="16" max="16" width="27.5546875" style="2" customWidth="1"/>
    <col min="17" max="18" width="13.6640625" style="2" customWidth="1"/>
    <col min="19" max="19" width="15.88671875" style="2" customWidth="1"/>
    <col min="20" max="20" width="30.44140625" style="2" customWidth="1"/>
    <col min="21" max="21" width="13.109375" style="2" bestFit="1" customWidth="1"/>
    <col min="22" max="22" width="11.6640625" style="2" customWidth="1"/>
    <col min="23" max="23" width="14.6640625" style="2" customWidth="1"/>
    <col min="24" max="24" width="13" style="2" customWidth="1"/>
    <col min="25" max="25" width="16.109375" style="2" customWidth="1"/>
    <col min="26" max="26" width="15.109375" style="2" customWidth="1"/>
    <col min="27" max="27" width="14.88671875" style="2" customWidth="1"/>
    <col min="28" max="16384" width="9.109375" style="2"/>
  </cols>
  <sheetData>
    <row r="1" spans="1:23" s="8" customFormat="1" ht="48" customHeight="1" x14ac:dyDescent="0.3">
      <c r="A1" s="370" t="s">
        <v>1</v>
      </c>
      <c r="B1" s="346" t="s">
        <v>2</v>
      </c>
      <c r="C1" s="346"/>
      <c r="D1" s="346" t="s">
        <v>3</v>
      </c>
      <c r="E1" s="355" t="s">
        <v>4</v>
      </c>
      <c r="F1" s="355"/>
      <c r="G1" s="355"/>
      <c r="H1" s="355"/>
      <c r="I1" s="345" t="s">
        <v>5</v>
      </c>
      <c r="J1" s="345"/>
      <c r="K1" s="346"/>
      <c r="L1" s="347" t="s">
        <v>6</v>
      </c>
      <c r="M1" s="347"/>
      <c r="N1" s="528"/>
      <c r="O1" s="515" t="s">
        <v>7</v>
      </c>
      <c r="P1" s="515"/>
      <c r="Q1" s="515"/>
      <c r="R1" s="515"/>
      <c r="S1" s="515"/>
      <c r="T1" s="515"/>
      <c r="U1" s="7"/>
    </row>
    <row r="2" spans="1:23" s="8" customFormat="1" ht="66.75" customHeight="1" thickBot="1" x14ac:dyDescent="0.35">
      <c r="A2" s="371"/>
      <c r="B2" s="372"/>
      <c r="C2" s="372"/>
      <c r="D2" s="372"/>
      <c r="E2" s="54" t="s">
        <v>8</v>
      </c>
      <c r="F2" s="54" t="s">
        <v>9</v>
      </c>
      <c r="G2" s="54" t="s">
        <v>10</v>
      </c>
      <c r="H2" s="54" t="s">
        <v>11</v>
      </c>
      <c r="I2" s="55" t="s">
        <v>12</v>
      </c>
      <c r="J2" s="55" t="s">
        <v>13</v>
      </c>
      <c r="K2" s="55" t="s">
        <v>14</v>
      </c>
      <c r="L2" s="56" t="s">
        <v>15</v>
      </c>
      <c r="M2" s="56" t="s">
        <v>16</v>
      </c>
      <c r="N2" s="284" t="s">
        <v>14</v>
      </c>
      <c r="O2" s="287" t="s">
        <v>17</v>
      </c>
      <c r="P2" s="288" t="s">
        <v>18</v>
      </c>
      <c r="Q2" s="288" t="s">
        <v>19</v>
      </c>
      <c r="R2" s="288" t="s">
        <v>172</v>
      </c>
      <c r="S2" s="288" t="s">
        <v>20</v>
      </c>
      <c r="T2" s="289" t="s">
        <v>173</v>
      </c>
      <c r="U2" s="7"/>
    </row>
    <row r="3" spans="1:23" s="5" customFormat="1" ht="26.25" customHeight="1" x14ac:dyDescent="0.25">
      <c r="A3" s="382" t="s">
        <v>21</v>
      </c>
      <c r="B3" s="373" t="s">
        <v>22</v>
      </c>
      <c r="C3" s="356">
        <v>4240</v>
      </c>
      <c r="D3" s="348">
        <v>2023</v>
      </c>
      <c r="E3" s="333">
        <v>19200</v>
      </c>
      <c r="F3" s="167" t="s">
        <v>23</v>
      </c>
      <c r="G3" s="168">
        <v>0.18</v>
      </c>
      <c r="H3" s="52">
        <f>$E$3*G3</f>
        <v>3456</v>
      </c>
      <c r="I3" s="48">
        <v>100</v>
      </c>
      <c r="J3" s="49">
        <v>7.9</v>
      </c>
      <c r="K3" s="50">
        <f>H3*I3*J3*12</f>
        <v>32762880</v>
      </c>
      <c r="L3" s="169">
        <v>260</v>
      </c>
      <c r="M3" s="39">
        <v>15.25</v>
      </c>
      <c r="N3" s="40">
        <f>H3*L3*M3</f>
        <v>13703040</v>
      </c>
      <c r="O3" s="542">
        <f>K6+N6</f>
        <v>98004096</v>
      </c>
      <c r="P3" s="285" t="s">
        <v>24</v>
      </c>
      <c r="Q3" s="16">
        <f>K6-Q4</f>
        <v>56310681.600000001</v>
      </c>
      <c r="R3" s="16">
        <v>9252651</v>
      </c>
      <c r="S3" s="16">
        <v>0</v>
      </c>
      <c r="T3" s="286">
        <f>Q3-R3</f>
        <v>47058030.600000001</v>
      </c>
    </row>
    <row r="4" spans="1:23" s="5" customFormat="1" ht="26.25" customHeight="1" x14ac:dyDescent="0.25">
      <c r="A4" s="382"/>
      <c r="B4" s="337"/>
      <c r="C4" s="357"/>
      <c r="D4" s="349"/>
      <c r="E4" s="334"/>
      <c r="F4" s="171" t="s">
        <v>25</v>
      </c>
      <c r="G4" s="172">
        <v>0.37</v>
      </c>
      <c r="H4" s="173">
        <f t="shared" ref="H4:H5" si="0">$E$3*G4</f>
        <v>7104</v>
      </c>
      <c r="I4" s="174">
        <v>30</v>
      </c>
      <c r="J4" s="175">
        <v>6</v>
      </c>
      <c r="K4" s="176">
        <f>H4*I4*J4*12</f>
        <v>15344640</v>
      </c>
      <c r="L4" s="177">
        <v>156</v>
      </c>
      <c r="M4" s="178">
        <v>15.25</v>
      </c>
      <c r="N4" s="179">
        <f>H4*L4*M4</f>
        <v>16900416</v>
      </c>
      <c r="O4" s="343"/>
      <c r="P4" s="180" t="s">
        <v>26</v>
      </c>
      <c r="Q4" s="161">
        <f>K6*0.07</f>
        <v>4238438.4000000004</v>
      </c>
      <c r="R4" s="161"/>
      <c r="S4" s="161">
        <v>0</v>
      </c>
      <c r="T4" s="258">
        <f>R4</f>
        <v>0</v>
      </c>
    </row>
    <row r="5" spans="1:23" s="5" customFormat="1" ht="26.25" customHeight="1" x14ac:dyDescent="0.25">
      <c r="A5" s="382"/>
      <c r="B5" s="337" t="s">
        <v>27</v>
      </c>
      <c r="C5" s="357">
        <v>2540</v>
      </c>
      <c r="D5" s="349"/>
      <c r="E5" s="334"/>
      <c r="F5" s="181" t="s">
        <v>28</v>
      </c>
      <c r="G5" s="182">
        <v>0.45</v>
      </c>
      <c r="H5" s="11">
        <f t="shared" si="0"/>
        <v>8640</v>
      </c>
      <c r="I5" s="183">
        <v>20</v>
      </c>
      <c r="J5" s="184">
        <v>6</v>
      </c>
      <c r="K5" s="185">
        <f>H5*I5*J5*12</f>
        <v>12441600</v>
      </c>
      <c r="L5" s="186">
        <v>52</v>
      </c>
      <c r="M5" s="187">
        <v>15.25</v>
      </c>
      <c r="N5" s="188">
        <f>H5*L5*M5</f>
        <v>6851520</v>
      </c>
      <c r="O5" s="354"/>
      <c r="P5" s="189" t="s">
        <v>29</v>
      </c>
      <c r="Q5" s="18">
        <f>N6</f>
        <v>37454976</v>
      </c>
      <c r="R5" s="18"/>
      <c r="S5" s="18">
        <v>0</v>
      </c>
      <c r="T5" s="259">
        <v>0</v>
      </c>
      <c r="U5" s="257"/>
      <c r="V5" s="257"/>
    </row>
    <row r="6" spans="1:23" s="5" customFormat="1" ht="26.25" customHeight="1" thickBot="1" x14ac:dyDescent="0.3">
      <c r="A6" s="382"/>
      <c r="B6" s="338"/>
      <c r="C6" s="358"/>
      <c r="D6" s="350"/>
      <c r="E6" s="335"/>
      <c r="F6" s="402" t="s">
        <v>30</v>
      </c>
      <c r="G6" s="396"/>
      <c r="H6" s="396"/>
      <c r="I6" s="396"/>
      <c r="J6" s="397"/>
      <c r="K6" s="190">
        <f>SUM(K3:K5)</f>
        <v>60549120</v>
      </c>
      <c r="L6" s="365" t="s">
        <v>30</v>
      </c>
      <c r="M6" s="366"/>
      <c r="N6" s="191">
        <f>SUM(N3:N5)</f>
        <v>37454976</v>
      </c>
      <c r="O6" s="344"/>
      <c r="P6" s="516"/>
      <c r="Q6" s="516"/>
      <c r="R6" s="516"/>
      <c r="S6" s="516"/>
      <c r="T6" s="517"/>
    </row>
    <row r="7" spans="1:23" s="4" customFormat="1" ht="26.25" customHeight="1" x14ac:dyDescent="0.25">
      <c r="A7" s="382"/>
      <c r="B7" s="359"/>
      <c r="C7" s="360"/>
      <c r="D7" s="351">
        <v>2024</v>
      </c>
      <c r="E7" s="339">
        <v>20000</v>
      </c>
      <c r="F7" s="34" t="s">
        <v>23</v>
      </c>
      <c r="G7" s="192">
        <v>0.18</v>
      </c>
      <c r="H7" s="35">
        <f>$E$7*G7</f>
        <v>3600</v>
      </c>
      <c r="I7" s="36">
        <v>100</v>
      </c>
      <c r="J7" s="37">
        <v>7.9</v>
      </c>
      <c r="K7" s="38">
        <f>H7*I7*J7*12</f>
        <v>34128000</v>
      </c>
      <c r="L7" s="193">
        <v>270</v>
      </c>
      <c r="M7" s="39">
        <v>15.25</v>
      </c>
      <c r="N7" s="40">
        <f>H7*L7*M7</f>
        <v>14823000</v>
      </c>
      <c r="O7" s="342">
        <f>K10+N10</f>
        <v>102636600</v>
      </c>
      <c r="P7" s="269" t="s">
        <v>24</v>
      </c>
      <c r="Q7" s="17">
        <f>K10-Q8</f>
        <v>59918400</v>
      </c>
      <c r="R7" s="17">
        <v>9115766</v>
      </c>
      <c r="S7" s="17">
        <f>T7-T3</f>
        <v>3744603.3999999985</v>
      </c>
      <c r="T7" s="281">
        <f>Q7-R7</f>
        <v>50802634</v>
      </c>
      <c r="U7" s="5"/>
      <c r="V7" s="5"/>
      <c r="W7" s="155"/>
    </row>
    <row r="8" spans="1:23" s="4" customFormat="1" ht="41.4" customHeight="1" x14ac:dyDescent="0.25">
      <c r="A8" s="382"/>
      <c r="B8" s="361"/>
      <c r="C8" s="362"/>
      <c r="D8" s="352"/>
      <c r="E8" s="340"/>
      <c r="F8" s="27" t="s">
        <v>25</v>
      </c>
      <c r="G8" s="194">
        <v>0.37</v>
      </c>
      <c r="H8" s="11">
        <f t="shared" ref="H8" si="1">$E$7*G8</f>
        <v>7400</v>
      </c>
      <c r="I8" s="12">
        <v>30</v>
      </c>
      <c r="J8" s="23">
        <v>6</v>
      </c>
      <c r="K8" s="16">
        <f>H8*I8*J8*12</f>
        <v>15984000</v>
      </c>
      <c r="L8" s="14">
        <v>156</v>
      </c>
      <c r="M8" s="22">
        <v>15.25</v>
      </c>
      <c r="N8" s="18">
        <f t="shared" ref="N8:N9" si="2">H8*L8*M8</f>
        <v>17604600</v>
      </c>
      <c r="O8" s="343"/>
      <c r="P8" s="180" t="s">
        <v>130</v>
      </c>
      <c r="Q8" s="161">
        <f>K10*0.05</f>
        <v>3153600</v>
      </c>
      <c r="R8" s="161"/>
      <c r="S8" s="161">
        <f>Q8-Q4</f>
        <v>-1084838.4000000004</v>
      </c>
      <c r="T8" s="258">
        <f>R8-T4</f>
        <v>0</v>
      </c>
      <c r="U8" s="159"/>
      <c r="V8" s="159"/>
      <c r="W8" s="160"/>
    </row>
    <row r="9" spans="1:23" s="4" customFormat="1" ht="26.25" customHeight="1" x14ac:dyDescent="0.25">
      <c r="A9" s="382"/>
      <c r="B9" s="361"/>
      <c r="C9" s="362"/>
      <c r="D9" s="352"/>
      <c r="E9" s="340"/>
      <c r="F9" s="28" t="s">
        <v>28</v>
      </c>
      <c r="G9" s="182">
        <v>0.45</v>
      </c>
      <c r="H9" s="11">
        <f>$E$7*G9</f>
        <v>9000</v>
      </c>
      <c r="I9" s="13">
        <v>20</v>
      </c>
      <c r="J9" s="21">
        <v>6</v>
      </c>
      <c r="K9" s="17">
        <f>H9*I9*J9*12</f>
        <v>12960000</v>
      </c>
      <c r="L9" s="14">
        <v>52</v>
      </c>
      <c r="M9" s="22">
        <v>15.25</v>
      </c>
      <c r="N9" s="18">
        <f t="shared" si="2"/>
        <v>7137000</v>
      </c>
      <c r="O9" s="343"/>
      <c r="P9" s="189" t="s">
        <v>29</v>
      </c>
      <c r="Q9" s="18">
        <f>N10</f>
        <v>39564600</v>
      </c>
      <c r="R9" s="18"/>
      <c r="S9" s="18">
        <f>Q9-Q5</f>
        <v>2109624</v>
      </c>
      <c r="T9" s="259">
        <f>R5-R9</f>
        <v>0</v>
      </c>
      <c r="U9" s="5"/>
      <c r="V9" s="5"/>
      <c r="W9" s="5"/>
    </row>
    <row r="10" spans="1:23" s="4" customFormat="1" ht="26.25" customHeight="1" thickBot="1" x14ac:dyDescent="0.3">
      <c r="A10" s="382"/>
      <c r="B10" s="363"/>
      <c r="C10" s="364"/>
      <c r="D10" s="353"/>
      <c r="E10" s="341"/>
      <c r="F10" s="396" t="s">
        <v>30</v>
      </c>
      <c r="G10" s="396"/>
      <c r="H10" s="396"/>
      <c r="I10" s="396"/>
      <c r="J10" s="397"/>
      <c r="K10" s="19">
        <f>SUM(K7:K9)</f>
        <v>63072000</v>
      </c>
      <c r="L10" s="365" t="s">
        <v>30</v>
      </c>
      <c r="M10" s="366"/>
      <c r="N10" s="20">
        <f>SUM(N7:N9)</f>
        <v>39564600</v>
      </c>
      <c r="O10" s="344"/>
      <c r="P10" s="518"/>
      <c r="Q10" s="518"/>
      <c r="R10" s="518"/>
      <c r="S10" s="518"/>
      <c r="T10" s="519"/>
      <c r="U10" s="5"/>
      <c r="V10" s="5"/>
      <c r="W10" s="5"/>
    </row>
    <row r="11" spans="1:23" s="5" customFormat="1" ht="26.25" customHeight="1" x14ac:dyDescent="0.25">
      <c r="A11" s="382"/>
      <c r="B11" s="336" t="s">
        <v>131</v>
      </c>
      <c r="C11" s="420">
        <v>43940212</v>
      </c>
      <c r="D11" s="351">
        <v>2025</v>
      </c>
      <c r="E11" s="339">
        <v>21000</v>
      </c>
      <c r="F11" s="46" t="s">
        <v>23</v>
      </c>
      <c r="G11" s="192">
        <v>0.18</v>
      </c>
      <c r="H11" s="47">
        <f>$E$11*G11</f>
        <v>3780</v>
      </c>
      <c r="I11" s="48">
        <v>100</v>
      </c>
      <c r="J11" s="49">
        <v>7.9</v>
      </c>
      <c r="K11" s="50">
        <f>H11*I11*J11*12</f>
        <v>35834400</v>
      </c>
      <c r="L11" s="169">
        <v>280</v>
      </c>
      <c r="M11" s="39">
        <v>15.25</v>
      </c>
      <c r="N11" s="40">
        <f>H11*L11*M11</f>
        <v>16140600</v>
      </c>
      <c r="O11" s="342">
        <f>K14+N14</f>
        <v>108344880</v>
      </c>
      <c r="P11" s="269" t="s">
        <v>24</v>
      </c>
      <c r="Q11" s="17">
        <f>K14-Q12</f>
        <v>62914320</v>
      </c>
      <c r="R11" s="17">
        <v>9627288</v>
      </c>
      <c r="S11" s="17">
        <f>T11-T3</f>
        <v>6229001.3999999985</v>
      </c>
      <c r="T11" s="281">
        <f>Q11-R11</f>
        <v>53287032</v>
      </c>
    </row>
    <row r="12" spans="1:23" s="5" customFormat="1" ht="26.25" customHeight="1" x14ac:dyDescent="0.25">
      <c r="A12" s="382"/>
      <c r="B12" s="337"/>
      <c r="C12" s="421"/>
      <c r="D12" s="352"/>
      <c r="E12" s="340"/>
      <c r="F12" s="28" t="s">
        <v>25</v>
      </c>
      <c r="G12" s="194">
        <v>0.37</v>
      </c>
      <c r="H12" s="24">
        <f t="shared" ref="H12:H13" si="3">$E$11*G12</f>
        <v>7770</v>
      </c>
      <c r="I12" s="13">
        <v>30</v>
      </c>
      <c r="J12" s="21">
        <v>6</v>
      </c>
      <c r="K12" s="17">
        <f>H12*I12*J12*12</f>
        <v>16783200</v>
      </c>
      <c r="L12" s="14">
        <v>156</v>
      </c>
      <c r="M12" s="22">
        <v>15.25</v>
      </c>
      <c r="N12" s="18">
        <f t="shared" ref="N12:N13" si="4">H12*L12*M12</f>
        <v>18484830</v>
      </c>
      <c r="O12" s="343"/>
      <c r="P12" s="180" t="s">
        <v>130</v>
      </c>
      <c r="Q12" s="161">
        <f>K14*0.05</f>
        <v>3311280</v>
      </c>
      <c r="R12" s="161"/>
      <c r="S12" s="161">
        <f>Q12-Q4</f>
        <v>-927158.40000000037</v>
      </c>
      <c r="T12" s="258">
        <f>R12-T4</f>
        <v>0</v>
      </c>
    </row>
    <row r="13" spans="1:23" s="5" customFormat="1" ht="26.25" customHeight="1" x14ac:dyDescent="0.25">
      <c r="A13" s="382"/>
      <c r="B13" s="337"/>
      <c r="C13" s="421"/>
      <c r="D13" s="352"/>
      <c r="E13" s="340"/>
      <c r="F13" s="28" t="s">
        <v>28</v>
      </c>
      <c r="G13" s="182">
        <v>0.45</v>
      </c>
      <c r="H13" s="24">
        <f t="shared" si="3"/>
        <v>9450</v>
      </c>
      <c r="I13" s="13">
        <v>20</v>
      </c>
      <c r="J13" s="21">
        <v>6</v>
      </c>
      <c r="K13" s="17">
        <f>H13*I13*J13*12</f>
        <v>13608000</v>
      </c>
      <c r="L13" s="14">
        <v>52</v>
      </c>
      <c r="M13" s="22">
        <v>15.25</v>
      </c>
      <c r="N13" s="18">
        <f t="shared" si="4"/>
        <v>7493850</v>
      </c>
      <c r="O13" s="343"/>
      <c r="P13" s="189" t="s">
        <v>29</v>
      </c>
      <c r="Q13" s="18">
        <f>N14</f>
        <v>42119280</v>
      </c>
      <c r="R13" s="18"/>
      <c r="S13" s="18">
        <f>Q13-Q5</f>
        <v>4664304</v>
      </c>
      <c r="T13" s="259">
        <f>R5-R13</f>
        <v>0</v>
      </c>
    </row>
    <row r="14" spans="1:23" s="5" customFormat="1" ht="26.25" customHeight="1" thickBot="1" x14ac:dyDescent="0.3">
      <c r="A14" s="382"/>
      <c r="B14" s="338"/>
      <c r="C14" s="422"/>
      <c r="D14" s="353"/>
      <c r="E14" s="341"/>
      <c r="F14" s="396" t="s">
        <v>30</v>
      </c>
      <c r="G14" s="396"/>
      <c r="H14" s="396"/>
      <c r="I14" s="396"/>
      <c r="J14" s="397"/>
      <c r="K14" s="19">
        <f>SUM(K11:K13)</f>
        <v>66225600</v>
      </c>
      <c r="L14" s="365" t="s">
        <v>30</v>
      </c>
      <c r="M14" s="366"/>
      <c r="N14" s="20">
        <f>SUM(N11:N13)</f>
        <v>42119280</v>
      </c>
      <c r="O14" s="344"/>
      <c r="P14" s="518"/>
      <c r="Q14" s="518"/>
      <c r="R14" s="518"/>
      <c r="S14" s="518"/>
      <c r="T14" s="519"/>
    </row>
    <row r="15" spans="1:23" s="5" customFormat="1" ht="26.25" customHeight="1" x14ac:dyDescent="0.25">
      <c r="A15" s="382"/>
      <c r="B15" s="409"/>
      <c r="C15" s="410"/>
      <c r="D15" s="351">
        <v>2026</v>
      </c>
      <c r="E15" s="339">
        <v>22000</v>
      </c>
      <c r="F15" s="46" t="s">
        <v>23</v>
      </c>
      <c r="G15" s="192">
        <v>0.18</v>
      </c>
      <c r="H15" s="47">
        <f>$E$15*G15</f>
        <v>3960</v>
      </c>
      <c r="I15" s="48">
        <v>100</v>
      </c>
      <c r="J15" s="49">
        <v>7.9</v>
      </c>
      <c r="K15" s="50">
        <f>H15*I15*J15*12</f>
        <v>37540800</v>
      </c>
      <c r="L15" s="169">
        <v>300</v>
      </c>
      <c r="M15" s="39">
        <v>15.25</v>
      </c>
      <c r="N15" s="40">
        <f>H15*L15*M15</f>
        <v>18117000</v>
      </c>
      <c r="O15" s="342">
        <f>K18+N18</f>
        <v>116449850</v>
      </c>
      <c r="P15" s="269" t="s">
        <v>24</v>
      </c>
      <c r="Q15" s="17">
        <f>K18-Q16</f>
        <v>65910240</v>
      </c>
      <c r="R15" s="17">
        <v>8069020</v>
      </c>
      <c r="S15" s="17">
        <f>T15-T3</f>
        <v>10783189.399999999</v>
      </c>
      <c r="T15" s="281">
        <f>Q15-R15</f>
        <v>57841220</v>
      </c>
    </row>
    <row r="16" spans="1:23" s="5" customFormat="1" ht="26.25" customHeight="1" x14ac:dyDescent="0.25">
      <c r="A16" s="382"/>
      <c r="B16" s="411"/>
      <c r="C16" s="412"/>
      <c r="D16" s="352"/>
      <c r="E16" s="340"/>
      <c r="F16" s="28" t="s">
        <v>25</v>
      </c>
      <c r="G16" s="194">
        <v>0.37</v>
      </c>
      <c r="H16" s="24">
        <f t="shared" ref="H16:H17" si="5">$E$15*G16</f>
        <v>8140</v>
      </c>
      <c r="I16" s="13">
        <v>30</v>
      </c>
      <c r="J16" s="21">
        <v>6</v>
      </c>
      <c r="K16" s="17">
        <f>H16*I16*J16*12</f>
        <v>17582400</v>
      </c>
      <c r="L16" s="14">
        <v>170</v>
      </c>
      <c r="M16" s="22">
        <v>15.25</v>
      </c>
      <c r="N16" s="18">
        <f t="shared" ref="N16:N17" si="6">H16*L16*M16</f>
        <v>21102950</v>
      </c>
      <c r="O16" s="343"/>
      <c r="P16" s="180" t="s">
        <v>130</v>
      </c>
      <c r="Q16" s="161">
        <f>K18*0.05</f>
        <v>3468960</v>
      </c>
      <c r="R16" s="161"/>
      <c r="S16" s="161">
        <f>Q16-Q4</f>
        <v>-769478.40000000037</v>
      </c>
      <c r="T16" s="258">
        <f>R16-T4</f>
        <v>0</v>
      </c>
    </row>
    <row r="17" spans="1:23" s="5" customFormat="1" ht="26.25" customHeight="1" x14ac:dyDescent="0.25">
      <c r="A17" s="382"/>
      <c r="B17" s="411"/>
      <c r="C17" s="412"/>
      <c r="D17" s="352"/>
      <c r="E17" s="340"/>
      <c r="F17" s="28" t="s">
        <v>28</v>
      </c>
      <c r="G17" s="182">
        <v>0.45</v>
      </c>
      <c r="H17" s="24">
        <f t="shared" si="5"/>
        <v>9900</v>
      </c>
      <c r="I17" s="13">
        <v>20</v>
      </c>
      <c r="J17" s="21">
        <v>6</v>
      </c>
      <c r="K17" s="17">
        <f>H17*I17*J17*12</f>
        <v>14256000</v>
      </c>
      <c r="L17" s="14">
        <v>52</v>
      </c>
      <c r="M17" s="22">
        <v>15.25</v>
      </c>
      <c r="N17" s="18">
        <f t="shared" si="6"/>
        <v>7850700</v>
      </c>
      <c r="O17" s="343"/>
      <c r="P17" s="189" t="s">
        <v>29</v>
      </c>
      <c r="Q17" s="18">
        <f>N18</f>
        <v>47070650</v>
      </c>
      <c r="R17" s="18"/>
      <c r="S17" s="18">
        <f>Q17-Q5</f>
        <v>9615674</v>
      </c>
      <c r="T17" s="259">
        <f>R5-R17</f>
        <v>0</v>
      </c>
    </row>
    <row r="18" spans="1:23" s="5" customFormat="1" ht="26.25" customHeight="1" thickBot="1" x14ac:dyDescent="0.3">
      <c r="A18" s="382"/>
      <c r="B18" s="413"/>
      <c r="C18" s="414"/>
      <c r="D18" s="353"/>
      <c r="E18" s="341"/>
      <c r="F18" s="396" t="s">
        <v>30</v>
      </c>
      <c r="G18" s="396"/>
      <c r="H18" s="396"/>
      <c r="I18" s="396"/>
      <c r="J18" s="397"/>
      <c r="K18" s="19">
        <f>SUM(K15:K17)</f>
        <v>69379200</v>
      </c>
      <c r="L18" s="365" t="s">
        <v>30</v>
      </c>
      <c r="M18" s="366"/>
      <c r="N18" s="20">
        <f>SUM(N15:N17)</f>
        <v>47070650</v>
      </c>
      <c r="O18" s="344"/>
      <c r="P18" s="522"/>
      <c r="Q18" s="522"/>
      <c r="R18" s="522"/>
      <c r="S18" s="522"/>
      <c r="T18" s="523"/>
    </row>
    <row r="19" spans="1:23" s="5" customFormat="1" ht="26.25" customHeight="1" x14ac:dyDescent="0.25">
      <c r="A19" s="382"/>
      <c r="B19" s="415"/>
      <c r="C19" s="416"/>
      <c r="D19" s="387" t="s">
        <v>31</v>
      </c>
      <c r="E19" s="390">
        <f>E15+6357</f>
        <v>28357</v>
      </c>
      <c r="F19" s="51" t="s">
        <v>23</v>
      </c>
      <c r="G19" s="192">
        <v>0.18</v>
      </c>
      <c r="H19" s="52">
        <f>$E$19*G19</f>
        <v>5104.26</v>
      </c>
      <c r="I19" s="53">
        <v>100</v>
      </c>
      <c r="J19" s="49">
        <v>7.9</v>
      </c>
      <c r="K19" s="50">
        <f>H19*I19*J19*12</f>
        <v>48388384.800000004</v>
      </c>
      <c r="L19" s="169">
        <v>350</v>
      </c>
      <c r="M19" s="39">
        <v>15.25</v>
      </c>
      <c r="N19" s="40">
        <f>H19*L19*M19</f>
        <v>27243987.75</v>
      </c>
      <c r="O19" s="342">
        <f>K22+N22</f>
        <v>158790692.90000001</v>
      </c>
      <c r="P19" s="269" t="s">
        <v>24</v>
      </c>
      <c r="Q19" s="17">
        <f>K22-Q20</f>
        <v>84955303.439999998</v>
      </c>
      <c r="R19" s="17">
        <v>0</v>
      </c>
      <c r="S19" s="17">
        <f>T19-T3</f>
        <v>37897272.839999996</v>
      </c>
      <c r="T19" s="281">
        <f>Q19-R19</f>
        <v>84955303.439999998</v>
      </c>
    </row>
    <row r="20" spans="1:23" s="5" customFormat="1" ht="26.25" customHeight="1" x14ac:dyDescent="0.25">
      <c r="A20" s="382"/>
      <c r="B20" s="411"/>
      <c r="C20" s="417"/>
      <c r="D20" s="388"/>
      <c r="E20" s="391"/>
      <c r="F20" s="10" t="s">
        <v>25</v>
      </c>
      <c r="G20" s="194">
        <v>0.37</v>
      </c>
      <c r="H20" s="15">
        <f t="shared" ref="H20:H21" si="7">$E$19*G20</f>
        <v>10492.09</v>
      </c>
      <c r="I20" s="25">
        <v>30</v>
      </c>
      <c r="J20" s="21">
        <v>6</v>
      </c>
      <c r="K20" s="17">
        <f>H20*I20*J20*12</f>
        <v>22662914.400000002</v>
      </c>
      <c r="L20" s="14">
        <v>200</v>
      </c>
      <c r="M20" s="22">
        <v>15.25</v>
      </c>
      <c r="N20" s="18">
        <f t="shared" ref="N20:N21" si="8">H20*L20*M20</f>
        <v>32000874.5</v>
      </c>
      <c r="O20" s="343"/>
      <c r="P20" s="180" t="s">
        <v>130</v>
      </c>
      <c r="Q20" s="161">
        <f>K22*0.05</f>
        <v>4471331.7600000007</v>
      </c>
      <c r="R20" s="161"/>
      <c r="S20" s="161">
        <f>Q20-Q4</f>
        <v>232893.36000000034</v>
      </c>
      <c r="T20" s="258">
        <f>R20-T4</f>
        <v>0</v>
      </c>
    </row>
    <row r="21" spans="1:23" s="5" customFormat="1" ht="26.25" customHeight="1" x14ac:dyDescent="0.25">
      <c r="A21" s="382"/>
      <c r="B21" s="411"/>
      <c r="C21" s="417"/>
      <c r="D21" s="388"/>
      <c r="E21" s="391"/>
      <c r="F21" s="10" t="s">
        <v>28</v>
      </c>
      <c r="G21" s="182">
        <v>0.45</v>
      </c>
      <c r="H21" s="15">
        <f t="shared" si="7"/>
        <v>12760.65</v>
      </c>
      <c r="I21" s="25">
        <v>20</v>
      </c>
      <c r="J21" s="21">
        <v>6</v>
      </c>
      <c r="K21" s="17">
        <f>H21*I21*J21*12</f>
        <v>18375336</v>
      </c>
      <c r="L21" s="14">
        <v>52</v>
      </c>
      <c r="M21" s="22">
        <v>15.25</v>
      </c>
      <c r="N21" s="18">
        <f t="shared" si="8"/>
        <v>10119195.449999999</v>
      </c>
      <c r="O21" s="343"/>
      <c r="P21" s="189" t="s">
        <v>29</v>
      </c>
      <c r="Q21" s="18">
        <f>N22</f>
        <v>69364057.700000003</v>
      </c>
      <c r="R21" s="18"/>
      <c r="S21" s="18">
        <f>Q21-Q5</f>
        <v>31909081.700000003</v>
      </c>
      <c r="T21" s="259">
        <f>R21-T5</f>
        <v>0</v>
      </c>
    </row>
    <row r="22" spans="1:23" s="5" customFormat="1" ht="26.25" customHeight="1" thickBot="1" x14ac:dyDescent="0.3">
      <c r="A22" s="382"/>
      <c r="B22" s="418"/>
      <c r="C22" s="419"/>
      <c r="D22" s="389"/>
      <c r="E22" s="392"/>
      <c r="F22" s="450" t="s">
        <v>30</v>
      </c>
      <c r="G22" s="451"/>
      <c r="H22" s="451"/>
      <c r="I22" s="451"/>
      <c r="J22" s="452"/>
      <c r="K22" s="44">
        <f>SUM(K19:K21)</f>
        <v>89426635.200000003</v>
      </c>
      <c r="L22" s="446" t="s">
        <v>30</v>
      </c>
      <c r="M22" s="447"/>
      <c r="N22" s="45">
        <f>SUM(N19:N21)</f>
        <v>69364057.700000003</v>
      </c>
      <c r="O22" s="423"/>
      <c r="P22" s="520"/>
      <c r="Q22" s="520"/>
      <c r="R22" s="520"/>
      <c r="S22" s="520"/>
      <c r="T22" s="521"/>
    </row>
    <row r="23" spans="1:23" s="5" customFormat="1" ht="11.25" customHeight="1" x14ac:dyDescent="0.25">
      <c r="A23" s="448"/>
      <c r="B23" s="449"/>
      <c r="C23" s="449"/>
      <c r="D23" s="449"/>
      <c r="E23" s="449"/>
      <c r="F23" s="449"/>
      <c r="G23" s="449"/>
      <c r="H23" s="449"/>
      <c r="I23" s="449"/>
      <c r="J23" s="449"/>
      <c r="K23" s="449"/>
      <c r="L23" s="449"/>
      <c r="M23" s="449"/>
      <c r="N23" s="449"/>
      <c r="O23" s="449"/>
      <c r="P23" s="449"/>
      <c r="Q23" s="449"/>
      <c r="R23" s="449"/>
      <c r="S23" s="449"/>
      <c r="T23" s="9"/>
    </row>
    <row r="24" spans="1:23" s="5" customFormat="1" ht="90.75" customHeight="1" thickBot="1" x14ac:dyDescent="0.3">
      <c r="A24" s="398" t="s">
        <v>32</v>
      </c>
      <c r="B24" s="462" t="s">
        <v>2</v>
      </c>
      <c r="C24" s="462"/>
      <c r="D24" s="33" t="s">
        <v>3</v>
      </c>
      <c r="E24" s="60" t="s">
        <v>8</v>
      </c>
      <c r="F24" s="60" t="s">
        <v>9</v>
      </c>
      <c r="G24" s="60" t="s">
        <v>10</v>
      </c>
      <c r="H24" s="60" t="s">
        <v>11</v>
      </c>
      <c r="I24" s="61" t="s">
        <v>12</v>
      </c>
      <c r="J24" s="61" t="s">
        <v>13</v>
      </c>
      <c r="K24" s="61" t="s">
        <v>14</v>
      </c>
      <c r="L24" s="61" t="s">
        <v>15</v>
      </c>
      <c r="M24" s="61" t="s">
        <v>16</v>
      </c>
      <c r="N24" s="60" t="s">
        <v>14</v>
      </c>
      <c r="O24" s="60" t="s">
        <v>17</v>
      </c>
      <c r="P24" s="61" t="s">
        <v>18</v>
      </c>
      <c r="Q24" s="61" t="s">
        <v>19</v>
      </c>
      <c r="R24" s="61"/>
      <c r="S24" s="61" t="s">
        <v>20</v>
      </c>
      <c r="T24" s="9"/>
    </row>
    <row r="25" spans="1:23" s="5" customFormat="1" ht="27" customHeight="1" x14ac:dyDescent="0.25">
      <c r="A25" s="399"/>
      <c r="B25" s="373" t="s">
        <v>33</v>
      </c>
      <c r="C25" s="384" t="s">
        <v>33</v>
      </c>
      <c r="D25" s="351">
        <v>2023</v>
      </c>
      <c r="E25" s="339">
        <v>2850</v>
      </c>
      <c r="F25" s="62" t="s">
        <v>23</v>
      </c>
      <c r="G25" s="70">
        <v>0.5</v>
      </c>
      <c r="H25" s="69">
        <f>E25*G25</f>
        <v>1425</v>
      </c>
      <c r="I25" s="71">
        <v>200</v>
      </c>
      <c r="J25" s="86">
        <v>5.7</v>
      </c>
      <c r="K25" s="83">
        <f>H25*I25*J25*12</f>
        <v>19494000</v>
      </c>
      <c r="L25" s="73"/>
      <c r="M25" s="73"/>
      <c r="N25" s="74"/>
      <c r="O25" s="438">
        <f>K27</f>
        <v>36252000</v>
      </c>
      <c r="P25" s="170" t="s">
        <v>24</v>
      </c>
      <c r="Q25" s="83">
        <f>K27-Q26</f>
        <v>31539240</v>
      </c>
      <c r="R25" s="236"/>
      <c r="S25" s="102"/>
      <c r="T25" s="9"/>
    </row>
    <row r="26" spans="1:23" s="5" customFormat="1" ht="27" customHeight="1" x14ac:dyDescent="0.25">
      <c r="A26" s="399"/>
      <c r="B26" s="337"/>
      <c r="C26" s="385"/>
      <c r="D26" s="352"/>
      <c r="E26" s="340"/>
      <c r="F26" s="32" t="s">
        <v>25</v>
      </c>
      <c r="G26" s="76">
        <v>0.5</v>
      </c>
      <c r="H26" s="75">
        <f>E25*G26</f>
        <v>1425</v>
      </c>
      <c r="I26" s="77">
        <v>200</v>
      </c>
      <c r="J26" s="87">
        <v>4.9000000000000004</v>
      </c>
      <c r="K26" s="84">
        <f>H26*I26*J26*12</f>
        <v>16758000</v>
      </c>
      <c r="L26" s="79"/>
      <c r="M26" s="79"/>
      <c r="N26" s="80"/>
      <c r="O26" s="439"/>
      <c r="P26" s="180" t="s">
        <v>34</v>
      </c>
      <c r="Q26" s="152">
        <f>K27*0.13</f>
        <v>4712760</v>
      </c>
      <c r="R26" s="237"/>
      <c r="S26" s="103"/>
      <c r="T26" s="9"/>
    </row>
    <row r="27" spans="1:23" s="5" customFormat="1" ht="27" customHeight="1" thickBot="1" x14ac:dyDescent="0.3">
      <c r="A27" s="399"/>
      <c r="B27" s="463"/>
      <c r="C27" s="386"/>
      <c r="D27" s="353"/>
      <c r="E27" s="341"/>
      <c r="F27" s="441" t="s">
        <v>30</v>
      </c>
      <c r="G27" s="441"/>
      <c r="H27" s="441"/>
      <c r="I27" s="441"/>
      <c r="J27" s="441"/>
      <c r="K27" s="85">
        <f>K25+K26</f>
        <v>36252000</v>
      </c>
      <c r="L27" s="81"/>
      <c r="M27" s="81"/>
      <c r="N27" s="82"/>
      <c r="O27" s="440"/>
      <c r="P27" s="189" t="s">
        <v>29</v>
      </c>
      <c r="Q27" s="104">
        <v>0</v>
      </c>
      <c r="R27" s="238"/>
      <c r="S27" s="105">
        <v>0</v>
      </c>
      <c r="T27" s="9"/>
    </row>
    <row r="28" spans="1:23" s="5" customFormat="1" ht="27" customHeight="1" x14ac:dyDescent="0.25">
      <c r="A28" s="399"/>
      <c r="B28" s="430" t="s">
        <v>35</v>
      </c>
      <c r="C28" s="91">
        <v>36000</v>
      </c>
      <c r="D28" s="377">
        <v>2024</v>
      </c>
      <c r="E28" s="379">
        <v>2850</v>
      </c>
      <c r="F28" s="62" t="s">
        <v>23</v>
      </c>
      <c r="G28" s="70">
        <v>0.5</v>
      </c>
      <c r="H28" s="92">
        <f>E28*G28</f>
        <v>1425</v>
      </c>
      <c r="I28" s="71">
        <v>200</v>
      </c>
      <c r="J28" s="86">
        <v>5.7</v>
      </c>
      <c r="K28" s="93">
        <f>H28*I28*J28*12</f>
        <v>19494000</v>
      </c>
      <c r="L28" s="94"/>
      <c r="M28" s="94"/>
      <c r="N28" s="63"/>
      <c r="O28" s="393">
        <f>K30</f>
        <v>36252000</v>
      </c>
      <c r="P28" s="170" t="s">
        <v>24</v>
      </c>
      <c r="Q28" s="83">
        <f>K30-Q29</f>
        <v>32989320</v>
      </c>
      <c r="R28" s="236"/>
      <c r="S28" s="102">
        <f>Q25-Q28</f>
        <v>-1450080</v>
      </c>
      <c r="T28" s="9"/>
      <c r="W28" s="155"/>
    </row>
    <row r="29" spans="1:23" s="5" customFormat="1" ht="27" customHeight="1" x14ac:dyDescent="0.25">
      <c r="A29" s="399"/>
      <c r="B29" s="431"/>
      <c r="C29" s="432">
        <v>54726050</v>
      </c>
      <c r="D29" s="378"/>
      <c r="E29" s="380"/>
      <c r="F29" s="32" t="s">
        <v>25</v>
      </c>
      <c r="G29" s="76">
        <v>0.5</v>
      </c>
      <c r="H29" s="89">
        <f>G29*E28</f>
        <v>1425</v>
      </c>
      <c r="I29" s="77">
        <v>200</v>
      </c>
      <c r="J29" s="87">
        <v>4.9000000000000004</v>
      </c>
      <c r="K29" s="90">
        <f>H29*I29*J29*12</f>
        <v>16758000</v>
      </c>
      <c r="L29" s="31"/>
      <c r="M29" s="31"/>
      <c r="N29" s="30"/>
      <c r="O29" s="394"/>
      <c r="P29" s="180" t="s">
        <v>36</v>
      </c>
      <c r="Q29" s="106">
        <f>K30*0.09</f>
        <v>3262680</v>
      </c>
      <c r="R29" s="162"/>
      <c r="S29" s="103"/>
      <c r="T29" s="156"/>
      <c r="W29" s="155"/>
    </row>
    <row r="30" spans="1:23" s="5" customFormat="1" ht="27" customHeight="1" thickBot="1" x14ac:dyDescent="0.3">
      <c r="A30" s="399"/>
      <c r="B30" s="431"/>
      <c r="C30" s="433"/>
      <c r="D30" s="378"/>
      <c r="E30" s="381"/>
      <c r="F30" s="434" t="s">
        <v>30</v>
      </c>
      <c r="G30" s="434"/>
      <c r="H30" s="434"/>
      <c r="I30" s="434"/>
      <c r="J30" s="434"/>
      <c r="K30" s="85">
        <f>K28+K29</f>
        <v>36252000</v>
      </c>
      <c r="L30" s="68"/>
      <c r="M30" s="68"/>
      <c r="N30" s="67"/>
      <c r="O30" s="395"/>
      <c r="P30" s="189" t="s">
        <v>29</v>
      </c>
      <c r="Q30" s="104">
        <v>0</v>
      </c>
      <c r="R30" s="238"/>
      <c r="S30" s="105">
        <v>0</v>
      </c>
      <c r="T30" s="9"/>
    </row>
    <row r="31" spans="1:23" s="5" customFormat="1" ht="27" customHeight="1" x14ac:dyDescent="0.25">
      <c r="A31" s="399"/>
      <c r="B31" s="426"/>
      <c r="C31" s="427"/>
      <c r="D31" s="377">
        <v>2025</v>
      </c>
      <c r="E31" s="444">
        <v>2950</v>
      </c>
      <c r="F31" s="62" t="s">
        <v>23</v>
      </c>
      <c r="G31" s="70">
        <v>0.5</v>
      </c>
      <c r="H31" s="92">
        <f>E31*G31</f>
        <v>1475</v>
      </c>
      <c r="I31" s="72">
        <v>200</v>
      </c>
      <c r="J31" s="86">
        <v>5.7</v>
      </c>
      <c r="K31" s="83">
        <f>H31*I31*J31*12</f>
        <v>20178000</v>
      </c>
      <c r="L31" s="94"/>
      <c r="M31" s="94"/>
      <c r="N31" s="63"/>
      <c r="O31" s="393">
        <f>K33</f>
        <v>37524000</v>
      </c>
      <c r="P31" s="170" t="s">
        <v>24</v>
      </c>
      <c r="Q31" s="83">
        <f>K33-Q32</f>
        <v>34146840</v>
      </c>
      <c r="R31" s="236"/>
      <c r="S31" s="102">
        <f>Q25-Q31</f>
        <v>-2607600</v>
      </c>
      <c r="T31" s="9"/>
    </row>
    <row r="32" spans="1:23" s="5" customFormat="1" ht="27" customHeight="1" x14ac:dyDescent="0.25">
      <c r="A32" s="399"/>
      <c r="B32" s="424"/>
      <c r="C32" s="425"/>
      <c r="D32" s="442"/>
      <c r="E32" s="381"/>
      <c r="F32" s="32" t="s">
        <v>25</v>
      </c>
      <c r="G32" s="76">
        <v>0.5</v>
      </c>
      <c r="H32" s="89">
        <f>G32*E31</f>
        <v>1475</v>
      </c>
      <c r="I32" s="78">
        <v>200</v>
      </c>
      <c r="J32" s="87">
        <v>4.9000000000000004</v>
      </c>
      <c r="K32" s="84">
        <f>H32*I32*J32*12</f>
        <v>17346000</v>
      </c>
      <c r="L32" s="31"/>
      <c r="M32" s="31"/>
      <c r="N32" s="30"/>
      <c r="O32" s="394"/>
      <c r="P32" s="180" t="s">
        <v>36</v>
      </c>
      <c r="Q32" s="106">
        <f>K33*0.09</f>
        <v>3377160</v>
      </c>
      <c r="R32" s="162"/>
      <c r="S32" s="103"/>
      <c r="T32" s="9"/>
    </row>
    <row r="33" spans="1:24" s="5" customFormat="1" ht="27" customHeight="1" thickBot="1" x14ac:dyDescent="0.3">
      <c r="A33" s="399"/>
      <c r="B33" s="428"/>
      <c r="C33" s="429"/>
      <c r="D33" s="443"/>
      <c r="E33" s="445"/>
      <c r="F33" s="435" t="s">
        <v>30</v>
      </c>
      <c r="G33" s="435"/>
      <c r="H33" s="435"/>
      <c r="I33" s="435"/>
      <c r="J33" s="435"/>
      <c r="K33" s="88">
        <f>K31+K32</f>
        <v>37524000</v>
      </c>
      <c r="L33" s="66"/>
      <c r="M33" s="66"/>
      <c r="N33" s="64"/>
      <c r="O33" s="436"/>
      <c r="P33" s="189" t="s">
        <v>29</v>
      </c>
      <c r="Q33" s="107">
        <f>N37</f>
        <v>0</v>
      </c>
      <c r="R33" s="239"/>
      <c r="S33" s="108">
        <f>Q33-Q30</f>
        <v>0</v>
      </c>
      <c r="T33" s="9"/>
    </row>
    <row r="34" spans="1:24" s="5" customFormat="1" ht="27" customHeight="1" x14ac:dyDescent="0.25">
      <c r="A34" s="399"/>
      <c r="B34" s="424"/>
      <c r="C34" s="425"/>
      <c r="D34" s="442">
        <v>2026</v>
      </c>
      <c r="E34" s="381">
        <v>3200</v>
      </c>
      <c r="F34" s="95" t="s">
        <v>23</v>
      </c>
      <c r="G34" s="96">
        <v>0.5</v>
      </c>
      <c r="H34" s="97">
        <f>G34*E34</f>
        <v>1600</v>
      </c>
      <c r="I34" s="98">
        <v>200</v>
      </c>
      <c r="J34" s="99">
        <v>5.7</v>
      </c>
      <c r="K34" s="100">
        <f>H34*I34*J34*12</f>
        <v>21888000</v>
      </c>
      <c r="L34" s="101"/>
      <c r="M34" s="101"/>
      <c r="N34" s="65"/>
      <c r="O34" s="437">
        <f>K36</f>
        <v>40704000</v>
      </c>
      <c r="P34" s="170" t="s">
        <v>24</v>
      </c>
      <c r="Q34" s="100">
        <f>K36-Q35</f>
        <v>37040640</v>
      </c>
      <c r="R34" s="240"/>
      <c r="S34" s="109">
        <f>Q25-Q34</f>
        <v>-5501400</v>
      </c>
      <c r="T34" s="9"/>
    </row>
    <row r="35" spans="1:24" s="5" customFormat="1" ht="27" customHeight="1" x14ac:dyDescent="0.25">
      <c r="A35" s="399"/>
      <c r="B35" s="424"/>
      <c r="C35" s="425"/>
      <c r="D35" s="442"/>
      <c r="E35" s="381"/>
      <c r="F35" s="32" t="s">
        <v>25</v>
      </c>
      <c r="G35" s="76">
        <v>0.5</v>
      </c>
      <c r="H35" s="89">
        <f>G35*E34</f>
        <v>1600</v>
      </c>
      <c r="I35" s="78">
        <v>200</v>
      </c>
      <c r="J35" s="87">
        <v>4.9000000000000004</v>
      </c>
      <c r="K35" s="84">
        <f>H35*I35*J35*12</f>
        <v>18816000</v>
      </c>
      <c r="L35" s="31"/>
      <c r="M35" s="31"/>
      <c r="N35" s="30"/>
      <c r="O35" s="394"/>
      <c r="P35" s="180" t="s">
        <v>36</v>
      </c>
      <c r="Q35" s="106">
        <f>K36*0.09</f>
        <v>3663360</v>
      </c>
      <c r="R35" s="162"/>
      <c r="S35" s="103"/>
      <c r="T35" s="9"/>
    </row>
    <row r="36" spans="1:24" s="5" customFormat="1" ht="27" customHeight="1" thickBot="1" x14ac:dyDescent="0.3">
      <c r="A36" s="399"/>
      <c r="B36" s="424"/>
      <c r="C36" s="425"/>
      <c r="D36" s="442"/>
      <c r="E36" s="381"/>
      <c r="F36" s="441" t="s">
        <v>30</v>
      </c>
      <c r="G36" s="441"/>
      <c r="H36" s="441"/>
      <c r="I36" s="441"/>
      <c r="J36" s="441"/>
      <c r="K36" s="85">
        <f>K34+K35</f>
        <v>40704000</v>
      </c>
      <c r="L36" s="68"/>
      <c r="M36" s="68"/>
      <c r="N36" s="67"/>
      <c r="O36" s="395"/>
      <c r="P36" s="195" t="s">
        <v>29</v>
      </c>
      <c r="Q36" s="104">
        <v>0</v>
      </c>
      <c r="R36" s="238"/>
      <c r="S36" s="105">
        <v>0</v>
      </c>
      <c r="T36" s="9"/>
    </row>
    <row r="37" spans="1:24" s="5" customFormat="1" ht="27" customHeight="1" x14ac:dyDescent="0.25">
      <c r="A37" s="399"/>
      <c r="B37" s="426"/>
      <c r="C37" s="427"/>
      <c r="D37" s="377" t="s">
        <v>31</v>
      </c>
      <c r="E37" s="444">
        <v>3270</v>
      </c>
      <c r="F37" s="62" t="s">
        <v>23</v>
      </c>
      <c r="G37" s="70">
        <v>0.5</v>
      </c>
      <c r="H37" s="92">
        <f>E37*G37</f>
        <v>1635</v>
      </c>
      <c r="I37" s="72">
        <v>200</v>
      </c>
      <c r="J37" s="86">
        <v>5.7</v>
      </c>
      <c r="K37" s="83">
        <f>H37*I37*J37*12</f>
        <v>22366800</v>
      </c>
      <c r="L37" s="94"/>
      <c r="M37" s="94"/>
      <c r="N37" s="63"/>
      <c r="O37" s="393">
        <f>K39</f>
        <v>41594400</v>
      </c>
      <c r="P37" s="170" t="s">
        <v>24</v>
      </c>
      <c r="Q37" s="83">
        <f>K39-Q38</f>
        <v>37850904</v>
      </c>
      <c r="R37" s="236"/>
      <c r="S37" s="102">
        <f>Q25-Q37</f>
        <v>-6311664</v>
      </c>
      <c r="T37" s="9"/>
    </row>
    <row r="38" spans="1:24" s="5" customFormat="1" ht="27" customHeight="1" x14ac:dyDescent="0.25">
      <c r="A38" s="399"/>
      <c r="B38" s="424"/>
      <c r="C38" s="425"/>
      <c r="D38" s="442"/>
      <c r="E38" s="381"/>
      <c r="F38" s="32" t="s">
        <v>25</v>
      </c>
      <c r="G38" s="76">
        <v>0.5</v>
      </c>
      <c r="H38" s="89">
        <f>G38*E37</f>
        <v>1635</v>
      </c>
      <c r="I38" s="78">
        <v>200</v>
      </c>
      <c r="J38" s="87">
        <v>4.9000000000000004</v>
      </c>
      <c r="K38" s="84">
        <f>H38*I38*J38*12</f>
        <v>19227600</v>
      </c>
      <c r="L38" s="31"/>
      <c r="M38" s="31"/>
      <c r="N38" s="30"/>
      <c r="O38" s="394"/>
      <c r="P38" s="180" t="s">
        <v>36</v>
      </c>
      <c r="Q38" s="106">
        <f>K39*0.09</f>
        <v>3743496</v>
      </c>
      <c r="R38" s="162"/>
      <c r="S38" s="103"/>
      <c r="T38" s="9"/>
    </row>
    <row r="39" spans="1:24" s="5" customFormat="1" ht="27" customHeight="1" thickBot="1" x14ac:dyDescent="0.3">
      <c r="A39" s="400"/>
      <c r="B39" s="428"/>
      <c r="C39" s="429"/>
      <c r="D39" s="443"/>
      <c r="E39" s="445"/>
      <c r="F39" s="435" t="s">
        <v>30</v>
      </c>
      <c r="G39" s="435"/>
      <c r="H39" s="435"/>
      <c r="I39" s="435"/>
      <c r="J39" s="435"/>
      <c r="K39" s="88">
        <f>K37+K38</f>
        <v>41594400</v>
      </c>
      <c r="L39" s="66"/>
      <c r="M39" s="66"/>
      <c r="N39" s="64"/>
      <c r="O39" s="436"/>
      <c r="P39" s="196" t="s">
        <v>29</v>
      </c>
      <c r="Q39" s="107">
        <v>0</v>
      </c>
      <c r="R39" s="239"/>
      <c r="S39" s="108">
        <f>Q39-Q36</f>
        <v>0</v>
      </c>
    </row>
    <row r="40" spans="1:24" s="5" customFormat="1" ht="11.25" customHeight="1" x14ac:dyDescent="0.25">
      <c r="A40" s="448"/>
      <c r="B40" s="449"/>
      <c r="C40" s="449"/>
      <c r="D40" s="449"/>
      <c r="E40" s="449"/>
      <c r="F40" s="449"/>
      <c r="G40" s="449"/>
      <c r="H40" s="449"/>
      <c r="I40" s="449"/>
      <c r="J40" s="449"/>
      <c r="K40" s="449"/>
      <c r="L40" s="449"/>
      <c r="M40" s="449"/>
      <c r="N40" s="449"/>
      <c r="O40" s="449"/>
      <c r="P40" s="449"/>
      <c r="Q40" s="449"/>
      <c r="R40" s="449"/>
      <c r="S40" s="449"/>
    </row>
    <row r="41" spans="1:24" s="5" customFormat="1" ht="72" x14ac:dyDescent="0.25">
      <c r="A41" s="382" t="s">
        <v>37</v>
      </c>
      <c r="B41" s="471" t="s">
        <v>38</v>
      </c>
      <c r="C41" s="471"/>
      <c r="D41" s="29" t="s">
        <v>3</v>
      </c>
      <c r="E41" s="110" t="s">
        <v>39</v>
      </c>
      <c r="F41" s="466"/>
      <c r="G41" s="114" t="s">
        <v>40</v>
      </c>
      <c r="H41" s="114" t="s">
        <v>41</v>
      </c>
      <c r="I41" s="114" t="s">
        <v>14</v>
      </c>
      <c r="J41" s="115" t="s">
        <v>42</v>
      </c>
      <c r="K41" s="115" t="s">
        <v>43</v>
      </c>
      <c r="L41" s="115" t="s">
        <v>44</v>
      </c>
      <c r="M41" s="116" t="s">
        <v>158</v>
      </c>
      <c r="N41" s="115" t="s">
        <v>14</v>
      </c>
      <c r="O41" s="117" t="s">
        <v>45</v>
      </c>
      <c r="P41" s="282" t="s">
        <v>18</v>
      </c>
      <c r="Q41" s="283" t="s">
        <v>19</v>
      </c>
      <c r="R41" s="283"/>
      <c r="S41" s="283" t="s">
        <v>20</v>
      </c>
      <c r="T41" s="9"/>
    </row>
    <row r="42" spans="1:24" s="5" customFormat="1" ht="27" customHeight="1" x14ac:dyDescent="0.25">
      <c r="A42" s="382"/>
      <c r="B42" s="475"/>
      <c r="C42" s="475"/>
      <c r="D42" s="352">
        <v>2023</v>
      </c>
      <c r="E42" s="461">
        <v>14134</v>
      </c>
      <c r="F42" s="467"/>
      <c r="G42" s="474">
        <f>E42</f>
        <v>14134</v>
      </c>
      <c r="H42" s="470">
        <v>1300</v>
      </c>
      <c r="I42" s="470">
        <f>G42*H42*12</f>
        <v>220490400</v>
      </c>
      <c r="J42" s="326">
        <v>6165</v>
      </c>
      <c r="K42" s="326">
        <v>27379</v>
      </c>
      <c r="L42" s="326">
        <v>4</v>
      </c>
      <c r="M42" s="327">
        <f>N42/5587</f>
        <v>14992.930016108825</v>
      </c>
      <c r="N42" s="328">
        <v>83765500</v>
      </c>
      <c r="O42" s="323">
        <f>I42</f>
        <v>220490400</v>
      </c>
      <c r="P42" s="244" t="s">
        <v>24</v>
      </c>
      <c r="Q42" s="17">
        <f>I42-Q43</f>
        <v>158753088</v>
      </c>
      <c r="R42" s="17"/>
      <c r="S42" s="17"/>
      <c r="T42" s="9"/>
    </row>
    <row r="43" spans="1:24" s="5" customFormat="1" ht="27" customHeight="1" x14ac:dyDescent="0.25">
      <c r="A43" s="382"/>
      <c r="B43" s="475"/>
      <c r="C43" s="475"/>
      <c r="D43" s="352"/>
      <c r="E43" s="461"/>
      <c r="F43" s="467"/>
      <c r="G43" s="474"/>
      <c r="H43" s="470"/>
      <c r="I43" s="470"/>
      <c r="J43" s="326"/>
      <c r="K43" s="326"/>
      <c r="L43" s="326"/>
      <c r="M43" s="327"/>
      <c r="N43" s="328"/>
      <c r="O43" s="324"/>
      <c r="P43" s="245" t="s">
        <v>132</v>
      </c>
      <c r="Q43" s="161">
        <f>I42*0.28</f>
        <v>61737312.000000007</v>
      </c>
      <c r="R43" s="161"/>
      <c r="S43" s="161"/>
      <c r="T43" s="165"/>
    </row>
    <row r="44" spans="1:24" s="5" customFormat="1" ht="27" customHeight="1" x14ac:dyDescent="0.25">
      <c r="A44" s="382"/>
      <c r="B44" s="475"/>
      <c r="C44" s="475"/>
      <c r="D44" s="352"/>
      <c r="E44" s="461"/>
      <c r="F44" s="467"/>
      <c r="G44" s="474"/>
      <c r="H44" s="470"/>
      <c r="I44" s="470"/>
      <c r="J44" s="326"/>
      <c r="K44" s="326"/>
      <c r="L44" s="326"/>
      <c r="M44" s="327"/>
      <c r="N44" s="328"/>
      <c r="O44" s="325"/>
      <c r="P44" s="246" t="s">
        <v>29</v>
      </c>
      <c r="Q44" s="18">
        <f>N42</f>
        <v>83765500</v>
      </c>
      <c r="R44" s="18"/>
      <c r="S44" s="18"/>
      <c r="T44" s="9"/>
    </row>
    <row r="45" spans="1:24" s="5" customFormat="1" ht="27" customHeight="1" x14ac:dyDescent="0.25">
      <c r="A45" s="382"/>
      <c r="B45" s="473" t="s">
        <v>46</v>
      </c>
      <c r="C45" s="473"/>
      <c r="D45" s="353">
        <v>2024</v>
      </c>
      <c r="E45" s="456">
        <v>16001</v>
      </c>
      <c r="F45" s="467"/>
      <c r="G45" s="469">
        <f>E45</f>
        <v>16001</v>
      </c>
      <c r="H45" s="460">
        <v>1300</v>
      </c>
      <c r="I45" s="460">
        <f>G45*H45*12</f>
        <v>249615600</v>
      </c>
      <c r="J45" s="329">
        <f>J42-1867</f>
        <v>4298</v>
      </c>
      <c r="K45" s="329">
        <f>K42*J45/J42</f>
        <v>19087.581832927819</v>
      </c>
      <c r="L45" s="464">
        <v>3</v>
      </c>
      <c r="M45" s="465">
        <f>M42</f>
        <v>14992.930016108825</v>
      </c>
      <c r="N45" s="328">
        <f>M45*J45</f>
        <v>64439613.209235728</v>
      </c>
      <c r="O45" s="376">
        <f>I45</f>
        <v>249615600</v>
      </c>
      <c r="P45" s="244" t="s">
        <v>24</v>
      </c>
      <c r="Q45" s="17">
        <f>I45-Q46</f>
        <v>187211700</v>
      </c>
      <c r="R45" s="17"/>
      <c r="S45" s="17">
        <f>Q42-Q45</f>
        <v>-28458612</v>
      </c>
      <c r="T45" s="9"/>
      <c r="X45" s="155"/>
    </row>
    <row r="46" spans="1:24" s="5" customFormat="1" ht="27" customHeight="1" x14ac:dyDescent="0.25">
      <c r="A46" s="382"/>
      <c r="B46" s="473"/>
      <c r="C46" s="473"/>
      <c r="D46" s="442"/>
      <c r="E46" s="457"/>
      <c r="F46" s="467"/>
      <c r="G46" s="469"/>
      <c r="H46" s="460"/>
      <c r="I46" s="460"/>
      <c r="J46" s="329"/>
      <c r="K46" s="329"/>
      <c r="L46" s="464"/>
      <c r="M46" s="465"/>
      <c r="N46" s="328"/>
      <c r="O46" s="376"/>
      <c r="P46" s="245" t="s">
        <v>133</v>
      </c>
      <c r="Q46" s="161">
        <f>I45*0.25</f>
        <v>62403900</v>
      </c>
      <c r="R46" s="161"/>
      <c r="S46" s="161"/>
      <c r="T46" s="165"/>
      <c r="X46" s="157"/>
    </row>
    <row r="47" spans="1:24" s="5" customFormat="1" ht="27" customHeight="1" x14ac:dyDescent="0.25">
      <c r="A47" s="382"/>
      <c r="B47" s="473"/>
      <c r="C47" s="473"/>
      <c r="D47" s="459"/>
      <c r="E47" s="458"/>
      <c r="F47" s="467"/>
      <c r="G47" s="469"/>
      <c r="H47" s="460"/>
      <c r="I47" s="460"/>
      <c r="J47" s="329"/>
      <c r="K47" s="329"/>
      <c r="L47" s="464"/>
      <c r="M47" s="465"/>
      <c r="N47" s="328"/>
      <c r="O47" s="376"/>
      <c r="P47" s="246" t="s">
        <v>29</v>
      </c>
      <c r="Q47" s="18">
        <f>N45</f>
        <v>64439613.209235728</v>
      </c>
      <c r="R47" s="18"/>
      <c r="S47" s="18">
        <f>Q44-Q47</f>
        <v>19325886.790764272</v>
      </c>
      <c r="T47" s="9"/>
    </row>
    <row r="48" spans="1:24" s="5" customFormat="1" ht="27" customHeight="1" x14ac:dyDescent="0.25">
      <c r="A48" s="382"/>
      <c r="B48" s="472"/>
      <c r="C48" s="472"/>
      <c r="D48" s="353">
        <v>2025</v>
      </c>
      <c r="E48" s="456">
        <v>16001</v>
      </c>
      <c r="F48" s="467"/>
      <c r="G48" s="469">
        <f>E48</f>
        <v>16001</v>
      </c>
      <c r="H48" s="460">
        <v>1300</v>
      </c>
      <c r="I48" s="541">
        <f>G48*H48*12</f>
        <v>249615600</v>
      </c>
      <c r="J48" s="329">
        <f>J45</f>
        <v>4298</v>
      </c>
      <c r="K48" s="329">
        <f>K45*(12/L48)/(12/L45)</f>
        <v>28631.372749391729</v>
      </c>
      <c r="L48" s="464">
        <v>2</v>
      </c>
      <c r="M48" s="465">
        <f>M45</f>
        <v>14992.930016108825</v>
      </c>
      <c r="N48" s="328">
        <f t="shared" ref="N48" si="9">M48*J48</f>
        <v>64439613.209235728</v>
      </c>
      <c r="O48" s="376">
        <f>I48</f>
        <v>249615600</v>
      </c>
      <c r="P48" s="112" t="s">
        <v>24</v>
      </c>
      <c r="Q48" s="100">
        <f>I48-Q49</f>
        <v>187211700</v>
      </c>
      <c r="R48" s="100"/>
      <c r="S48" s="100">
        <f>Q42-Q48</f>
        <v>-28458612</v>
      </c>
      <c r="T48" s="9"/>
    </row>
    <row r="49" spans="1:27" s="5" customFormat="1" ht="27" customHeight="1" x14ac:dyDescent="0.25">
      <c r="A49" s="382"/>
      <c r="B49" s="472"/>
      <c r="C49" s="472"/>
      <c r="D49" s="442"/>
      <c r="E49" s="457"/>
      <c r="F49" s="467"/>
      <c r="G49" s="469"/>
      <c r="H49" s="460"/>
      <c r="I49" s="541"/>
      <c r="J49" s="329"/>
      <c r="K49" s="329"/>
      <c r="L49" s="464"/>
      <c r="M49" s="465"/>
      <c r="N49" s="328"/>
      <c r="O49" s="376"/>
      <c r="P49" s="197" t="s">
        <v>133</v>
      </c>
      <c r="Q49" s="106">
        <f>I48*0.25</f>
        <v>62403900</v>
      </c>
      <c r="R49" s="106"/>
      <c r="S49" s="106"/>
    </row>
    <row r="50" spans="1:27" s="5" customFormat="1" ht="27" customHeight="1" x14ac:dyDescent="0.25">
      <c r="A50" s="382"/>
      <c r="B50" s="472"/>
      <c r="C50" s="472"/>
      <c r="D50" s="459"/>
      <c r="E50" s="458"/>
      <c r="F50" s="467"/>
      <c r="G50" s="469"/>
      <c r="H50" s="460"/>
      <c r="I50" s="541"/>
      <c r="J50" s="329"/>
      <c r="K50" s="329"/>
      <c r="L50" s="464"/>
      <c r="M50" s="465"/>
      <c r="N50" s="328"/>
      <c r="O50" s="376"/>
      <c r="P50" s="113" t="s">
        <v>29</v>
      </c>
      <c r="Q50" s="111">
        <f>N48</f>
        <v>64439613.209235728</v>
      </c>
      <c r="R50" s="111"/>
      <c r="S50" s="111">
        <f>Q44-Q50</f>
        <v>19325886.790764272</v>
      </c>
      <c r="T50" s="9"/>
    </row>
    <row r="51" spans="1:27" s="5" customFormat="1" ht="27" customHeight="1" x14ac:dyDescent="0.25">
      <c r="A51" s="382"/>
      <c r="B51" s="473" t="s">
        <v>47</v>
      </c>
      <c r="C51" s="473"/>
      <c r="D51" s="353">
        <v>2026</v>
      </c>
      <c r="E51" s="456">
        <v>16201</v>
      </c>
      <c r="F51" s="467"/>
      <c r="G51" s="469">
        <f>E51</f>
        <v>16201</v>
      </c>
      <c r="H51" s="460">
        <v>1300</v>
      </c>
      <c r="I51" s="541">
        <f>G51*H51*12</f>
        <v>252735600</v>
      </c>
      <c r="J51" s="329">
        <f t="shared" ref="J51" si="10">J48</f>
        <v>4298</v>
      </c>
      <c r="K51" s="329">
        <f t="shared" ref="K51" si="11">K48*(12/L51)/(12/L48)</f>
        <v>57262.745498783457</v>
      </c>
      <c r="L51" s="464">
        <v>1</v>
      </c>
      <c r="M51" s="465">
        <f>M48</f>
        <v>14992.930016108825</v>
      </c>
      <c r="N51" s="328">
        <f t="shared" ref="N51" si="12">M51*J51</f>
        <v>64439613.209235728</v>
      </c>
      <c r="O51" s="376">
        <f t="shared" ref="O51" si="13">I51</f>
        <v>252735600</v>
      </c>
      <c r="P51" s="112" t="s">
        <v>24</v>
      </c>
      <c r="Q51" s="84">
        <f>I51-Q52</f>
        <v>189551700</v>
      </c>
      <c r="R51" s="84"/>
      <c r="S51" s="84">
        <f>Q42-Q51</f>
        <v>-30798612</v>
      </c>
      <c r="T51" s="9"/>
    </row>
    <row r="52" spans="1:27" s="5" customFormat="1" ht="27" customHeight="1" x14ac:dyDescent="0.25">
      <c r="A52" s="382"/>
      <c r="B52" s="473"/>
      <c r="C52" s="473"/>
      <c r="D52" s="442"/>
      <c r="E52" s="457"/>
      <c r="F52" s="467"/>
      <c r="G52" s="469"/>
      <c r="H52" s="460"/>
      <c r="I52" s="541"/>
      <c r="J52" s="329"/>
      <c r="K52" s="329"/>
      <c r="L52" s="464"/>
      <c r="M52" s="465"/>
      <c r="N52" s="328"/>
      <c r="O52" s="376"/>
      <c r="P52" s="197" t="s">
        <v>133</v>
      </c>
      <c r="Q52" s="106">
        <f>I51*0.25</f>
        <v>63183900</v>
      </c>
      <c r="R52" s="106"/>
      <c r="S52" s="106"/>
    </row>
    <row r="53" spans="1:27" s="5" customFormat="1" ht="27" customHeight="1" x14ac:dyDescent="0.25">
      <c r="A53" s="382"/>
      <c r="B53" s="473"/>
      <c r="C53" s="473"/>
      <c r="D53" s="459"/>
      <c r="E53" s="458"/>
      <c r="F53" s="467"/>
      <c r="G53" s="469"/>
      <c r="H53" s="460"/>
      <c r="I53" s="541"/>
      <c r="J53" s="329"/>
      <c r="K53" s="329"/>
      <c r="L53" s="464"/>
      <c r="M53" s="465"/>
      <c r="N53" s="328"/>
      <c r="O53" s="376"/>
      <c r="P53" s="113" t="s">
        <v>29</v>
      </c>
      <c r="Q53" s="111">
        <f>N51</f>
        <v>64439613.209235728</v>
      </c>
      <c r="R53" s="111"/>
      <c r="S53" s="111">
        <f>Q44-Q53</f>
        <v>19325886.790764272</v>
      </c>
      <c r="T53" s="9"/>
    </row>
    <row r="54" spans="1:27" s="5" customFormat="1" ht="27" customHeight="1" x14ac:dyDescent="0.25">
      <c r="A54" s="382"/>
      <c r="B54" s="476" t="s">
        <v>48</v>
      </c>
      <c r="C54" s="477"/>
      <c r="D54" s="353" t="s">
        <v>31</v>
      </c>
      <c r="E54" s="456">
        <v>16500</v>
      </c>
      <c r="F54" s="467"/>
      <c r="G54" s="469">
        <f>E54</f>
        <v>16500</v>
      </c>
      <c r="H54" s="460">
        <v>1300</v>
      </c>
      <c r="I54" s="541">
        <f>G54*H54*12</f>
        <v>257400000</v>
      </c>
      <c r="J54" s="329">
        <f t="shared" ref="J54" si="14">J51</f>
        <v>4298</v>
      </c>
      <c r="K54" s="329">
        <f t="shared" ref="K54" si="15">K51*(12/L54)/(12/L51)</f>
        <v>57262.745498783457</v>
      </c>
      <c r="L54" s="464">
        <v>1</v>
      </c>
      <c r="M54" s="465">
        <f>M51</f>
        <v>14992.930016108825</v>
      </c>
      <c r="N54" s="328">
        <f>M54*J54</f>
        <v>64439613.209235728</v>
      </c>
      <c r="O54" s="376">
        <f t="shared" ref="O54" si="16">I54</f>
        <v>257400000</v>
      </c>
      <c r="P54" s="112" t="s">
        <v>24</v>
      </c>
      <c r="Q54" s="84">
        <f>I54-Q55</f>
        <v>193050000</v>
      </c>
      <c r="R54" s="84"/>
      <c r="S54" s="84">
        <f>Q42-Q54</f>
        <v>-34296912</v>
      </c>
      <c r="T54" s="9"/>
    </row>
    <row r="55" spans="1:27" s="5" customFormat="1" ht="27" customHeight="1" x14ac:dyDescent="0.25">
      <c r="A55" s="382"/>
      <c r="B55" s="478"/>
      <c r="C55" s="479"/>
      <c r="D55" s="442"/>
      <c r="E55" s="457"/>
      <c r="F55" s="467"/>
      <c r="G55" s="469"/>
      <c r="H55" s="460"/>
      <c r="I55" s="541"/>
      <c r="J55" s="329"/>
      <c r="K55" s="329"/>
      <c r="L55" s="464"/>
      <c r="M55" s="465"/>
      <c r="N55" s="328"/>
      <c r="O55" s="376"/>
      <c r="P55" s="197" t="s">
        <v>133</v>
      </c>
      <c r="Q55" s="106">
        <f>I54*0.25</f>
        <v>64350000</v>
      </c>
      <c r="R55" s="106"/>
      <c r="S55" s="106"/>
    </row>
    <row r="56" spans="1:27" s="5" customFormat="1" ht="27" customHeight="1" x14ac:dyDescent="0.25">
      <c r="A56" s="383"/>
      <c r="B56" s="480"/>
      <c r="C56" s="481"/>
      <c r="D56" s="459"/>
      <c r="E56" s="458"/>
      <c r="F56" s="468"/>
      <c r="G56" s="469"/>
      <c r="H56" s="460"/>
      <c r="I56" s="541"/>
      <c r="J56" s="329"/>
      <c r="K56" s="329"/>
      <c r="L56" s="464"/>
      <c r="M56" s="465"/>
      <c r="N56" s="328"/>
      <c r="O56" s="376"/>
      <c r="P56" s="113" t="s">
        <v>29</v>
      </c>
      <c r="Q56" s="111">
        <f>N54</f>
        <v>64439613.209235728</v>
      </c>
      <c r="R56" s="111"/>
      <c r="S56" s="111">
        <f>Q44-Q56</f>
        <v>19325886.790764272</v>
      </c>
      <c r="T56" s="9"/>
    </row>
    <row r="57" spans="1:27" s="5" customFormat="1" ht="11.25" customHeight="1" x14ac:dyDescent="0.25">
      <c r="A57" s="374"/>
      <c r="B57" s="375"/>
      <c r="C57" s="375"/>
      <c r="D57" s="375"/>
      <c r="E57" s="375"/>
      <c r="F57" s="375"/>
      <c r="G57" s="375"/>
      <c r="H57" s="375"/>
      <c r="I57" s="375"/>
      <c r="J57" s="375"/>
      <c r="K57" s="375"/>
      <c r="L57" s="375"/>
      <c r="M57" s="375"/>
      <c r="N57" s="375"/>
      <c r="O57" s="375"/>
      <c r="P57" s="375"/>
      <c r="Q57" s="375"/>
      <c r="R57" s="375"/>
      <c r="S57" s="375"/>
      <c r="T57" s="9"/>
    </row>
    <row r="59" spans="1:27" ht="14.4" x14ac:dyDescent="0.3">
      <c r="B59" s="330" t="s">
        <v>159</v>
      </c>
      <c r="C59" s="330"/>
      <c r="D59" s="330"/>
      <c r="E59" s="330"/>
      <c r="F59" s="330"/>
      <c r="G59" s="330"/>
      <c r="H59" s="330"/>
      <c r="I59" s="330"/>
      <c r="J59" s="330"/>
      <c r="K59" s="330"/>
      <c r="L59" s="330"/>
      <c r="M59" s="330"/>
    </row>
    <row r="60" spans="1:27" ht="14.4" x14ac:dyDescent="0.3">
      <c r="A60" s="133"/>
      <c r="B60" s="330"/>
      <c r="C60" s="330"/>
      <c r="D60" s="330"/>
      <c r="E60" s="330"/>
      <c r="F60" s="330"/>
      <c r="G60" s="330"/>
      <c r="H60" s="330"/>
      <c r="I60" s="330"/>
      <c r="J60" s="330"/>
      <c r="K60" s="330"/>
      <c r="L60" s="330"/>
      <c r="M60" s="330"/>
      <c r="N60" s="125"/>
      <c r="O60" s="120"/>
      <c r="P60" s="123"/>
      <c r="Q60" s="123"/>
      <c r="R60" s="123"/>
      <c r="S60" s="123"/>
      <c r="T60" s="123"/>
      <c r="U60" s="133"/>
      <c r="V60" s="123"/>
      <c r="W60" s="123"/>
      <c r="X60" s="123"/>
      <c r="Y60" s="123"/>
      <c r="Z60" s="123"/>
      <c r="AA60" s="123"/>
    </row>
    <row r="61" spans="1:27" ht="14.4" x14ac:dyDescent="0.3">
      <c r="A61" s="123"/>
      <c r="B61" s="123"/>
      <c r="C61" s="127"/>
      <c r="D61" s="127"/>
      <c r="E61" s="129"/>
      <c r="F61" s="129"/>
      <c r="G61" s="129"/>
      <c r="H61" s="140"/>
      <c r="I61" s="120"/>
      <c r="J61" s="120"/>
      <c r="K61" s="120"/>
      <c r="L61" s="120"/>
      <c r="M61" s="120"/>
      <c r="N61" s="125"/>
      <c r="O61" s="120"/>
      <c r="P61" s="123"/>
      <c r="Q61" s="123"/>
      <c r="R61" s="123"/>
      <c r="S61" s="123"/>
      <c r="T61" s="123"/>
      <c r="U61" s="123"/>
      <c r="V61" s="123"/>
      <c r="W61" s="123"/>
      <c r="X61" s="123"/>
      <c r="Y61" s="123"/>
      <c r="Z61" s="123"/>
      <c r="AA61" s="123"/>
    </row>
    <row r="62" spans="1:27" ht="14.4" x14ac:dyDescent="0.3">
      <c r="A62" s="123"/>
      <c r="B62" s="123"/>
      <c r="C62" s="123"/>
      <c r="D62" s="121"/>
      <c r="E62" s="120"/>
      <c r="F62" s="120"/>
      <c r="G62" s="120"/>
      <c r="H62" s="120"/>
      <c r="I62" s="120"/>
      <c r="J62" s="120"/>
      <c r="K62" s="120"/>
      <c r="L62" s="120"/>
      <c r="M62" s="120"/>
      <c r="N62" s="125"/>
      <c r="O62" s="120"/>
      <c r="P62" s="123"/>
      <c r="Q62" s="123"/>
      <c r="R62" s="123"/>
      <c r="S62" s="123"/>
      <c r="T62" s="123"/>
      <c r="U62" s="123"/>
      <c r="V62" s="123"/>
      <c r="W62" s="123"/>
      <c r="X62" s="123"/>
      <c r="Y62" s="123"/>
      <c r="Z62" s="123"/>
      <c r="AA62" s="123"/>
    </row>
    <row r="63" spans="1:27" ht="14.4" x14ac:dyDescent="0.3">
      <c r="A63" s="123"/>
      <c r="B63" s="123"/>
      <c r="C63" s="123"/>
      <c r="D63" s="121"/>
      <c r="E63" s="120"/>
      <c r="F63" s="120"/>
      <c r="G63" s="120"/>
      <c r="H63" s="120"/>
      <c r="I63" s="120"/>
      <c r="J63" s="120"/>
      <c r="K63" s="120"/>
      <c r="L63" s="120"/>
      <c r="M63" s="120"/>
      <c r="N63" s="120"/>
      <c r="O63" s="120"/>
      <c r="P63" s="123"/>
      <c r="Q63" s="123"/>
      <c r="R63" s="123"/>
      <c r="S63" s="123"/>
      <c r="T63" s="123"/>
      <c r="U63" s="123"/>
      <c r="V63" s="123"/>
      <c r="W63" s="123"/>
      <c r="X63" s="123"/>
      <c r="Y63" s="123"/>
      <c r="Z63" s="123"/>
      <c r="AA63" s="123"/>
    </row>
    <row r="64" spans="1:27" ht="14.4" x14ac:dyDescent="0.3">
      <c r="A64" s="123"/>
      <c r="B64" s="123"/>
      <c r="C64" s="123"/>
      <c r="D64" s="121"/>
      <c r="E64" s="120"/>
      <c r="F64" s="120"/>
      <c r="G64" s="120"/>
      <c r="H64" s="120"/>
      <c r="I64" s="120"/>
      <c r="J64" s="120"/>
      <c r="K64" s="120"/>
      <c r="L64" s="120"/>
      <c r="M64" s="120"/>
      <c r="N64" s="120"/>
      <c r="O64" s="120"/>
      <c r="P64" s="123"/>
      <c r="Q64" s="123"/>
      <c r="R64" s="123"/>
      <c r="S64" s="123"/>
      <c r="T64" s="123"/>
      <c r="U64" s="123"/>
      <c r="V64" s="123"/>
      <c r="W64" s="123"/>
      <c r="X64" s="123"/>
      <c r="Y64" s="123"/>
      <c r="Z64" s="123"/>
      <c r="AA64" s="123"/>
    </row>
    <row r="65" spans="1:27" ht="14.4" x14ac:dyDescent="0.3">
      <c r="A65" s="123"/>
      <c r="B65" s="123"/>
      <c r="C65" s="123"/>
      <c r="D65" s="121"/>
      <c r="E65" s="120"/>
      <c r="F65" s="120"/>
      <c r="G65" s="120"/>
      <c r="H65" s="120"/>
      <c r="I65" s="120"/>
      <c r="J65" s="120"/>
      <c r="K65" s="120"/>
      <c r="L65" s="120"/>
      <c r="M65" s="120"/>
      <c r="N65" s="120"/>
      <c r="O65" s="120"/>
      <c r="P65" s="123"/>
      <c r="Q65" s="123"/>
      <c r="R65" s="123"/>
      <c r="S65" s="123"/>
      <c r="T65" s="123"/>
      <c r="U65" s="123"/>
      <c r="V65" s="123"/>
      <c r="W65" s="123"/>
      <c r="X65" s="123"/>
      <c r="Y65" s="123"/>
      <c r="Z65" s="123"/>
      <c r="AA65" s="123"/>
    </row>
    <row r="66" spans="1:27" ht="14.4" x14ac:dyDescent="0.3">
      <c r="A66" s="123"/>
      <c r="B66" s="123"/>
      <c r="C66" s="123"/>
      <c r="D66" s="121"/>
      <c r="E66" s="120"/>
      <c r="F66" s="120"/>
      <c r="G66" s="120"/>
      <c r="H66" s="120"/>
      <c r="I66" s="120"/>
      <c r="J66" s="120"/>
      <c r="K66" s="120"/>
      <c r="L66" s="120"/>
      <c r="M66" s="120"/>
      <c r="N66" s="120"/>
      <c r="O66" s="120"/>
      <c r="P66" s="123"/>
      <c r="Q66" s="123"/>
      <c r="R66" s="123"/>
      <c r="S66" s="123"/>
      <c r="T66" s="123"/>
      <c r="U66" s="123"/>
      <c r="V66" s="123"/>
      <c r="W66" s="123"/>
      <c r="X66" s="123"/>
      <c r="Y66" s="123"/>
      <c r="Z66" s="123"/>
      <c r="AA66" s="123"/>
    </row>
  </sheetData>
  <mergeCells count="143">
    <mergeCell ref="K54:K56"/>
    <mergeCell ref="L54:L56"/>
    <mergeCell ref="M54:M56"/>
    <mergeCell ref="N54:N56"/>
    <mergeCell ref="O54:O56"/>
    <mergeCell ref="A57:S57"/>
    <mergeCell ref="M51:M53"/>
    <mergeCell ref="N51:N53"/>
    <mergeCell ref="O51:O53"/>
    <mergeCell ref="B54:C56"/>
    <mergeCell ref="D54:D56"/>
    <mergeCell ref="E54:E56"/>
    <mergeCell ref="G54:G56"/>
    <mergeCell ref="H54:H56"/>
    <mergeCell ref="I54:I56"/>
    <mergeCell ref="J54:J56"/>
    <mergeCell ref="A41:A56"/>
    <mergeCell ref="B41:C41"/>
    <mergeCell ref="O45:O47"/>
    <mergeCell ref="B48:C50"/>
    <mergeCell ref="D48:D50"/>
    <mergeCell ref="E48:E50"/>
    <mergeCell ref="G48:G50"/>
    <mergeCell ref="H48:H50"/>
    <mergeCell ref="O48:O50"/>
    <mergeCell ref="B51:C53"/>
    <mergeCell ref="D51:D53"/>
    <mergeCell ref="E51:E53"/>
    <mergeCell ref="G51:G53"/>
    <mergeCell ref="H51:H53"/>
    <mergeCell ref="I51:I53"/>
    <mergeCell ref="J51:J53"/>
    <mergeCell ref="K51:K53"/>
    <mergeCell ref="L51:L53"/>
    <mergeCell ref="I48:I50"/>
    <mergeCell ref="J48:J50"/>
    <mergeCell ref="K48:K50"/>
    <mergeCell ref="L48:L50"/>
    <mergeCell ref="M48:M50"/>
    <mergeCell ref="N48:N50"/>
    <mergeCell ref="M42:M44"/>
    <mergeCell ref="N42:N44"/>
    <mergeCell ref="O42:O44"/>
    <mergeCell ref="B45:C47"/>
    <mergeCell ref="D45:D47"/>
    <mergeCell ref="E45:E47"/>
    <mergeCell ref="G45:G47"/>
    <mergeCell ref="H45:H47"/>
    <mergeCell ref="I45:I47"/>
    <mergeCell ref="J45:J47"/>
    <mergeCell ref="G42:G44"/>
    <mergeCell ref="H42:H44"/>
    <mergeCell ref="I42:I44"/>
    <mergeCell ref="J42:J44"/>
    <mergeCell ref="K42:K44"/>
    <mergeCell ref="L42:L44"/>
    <mergeCell ref="F41:F56"/>
    <mergeCell ref="B42:C44"/>
    <mergeCell ref="D42:D44"/>
    <mergeCell ref="E42:E44"/>
    <mergeCell ref="K45:K47"/>
    <mergeCell ref="L45:L47"/>
    <mergeCell ref="M45:M47"/>
    <mergeCell ref="N45:N47"/>
    <mergeCell ref="A40:S40"/>
    <mergeCell ref="B31:C33"/>
    <mergeCell ref="D31:D33"/>
    <mergeCell ref="E31:E33"/>
    <mergeCell ref="O31:O33"/>
    <mergeCell ref="F33:J33"/>
    <mergeCell ref="B34:C36"/>
    <mergeCell ref="D34:D36"/>
    <mergeCell ref="E34:E36"/>
    <mergeCell ref="O34:O36"/>
    <mergeCell ref="F36:J36"/>
    <mergeCell ref="B19:C22"/>
    <mergeCell ref="D19:D22"/>
    <mergeCell ref="E19:E22"/>
    <mergeCell ref="O19:O22"/>
    <mergeCell ref="F22:J22"/>
    <mergeCell ref="L22:M22"/>
    <mergeCell ref="B37:C39"/>
    <mergeCell ref="D37:D39"/>
    <mergeCell ref="E37:E39"/>
    <mergeCell ref="O37:O39"/>
    <mergeCell ref="F39:J39"/>
    <mergeCell ref="B28:B30"/>
    <mergeCell ref="D28:D30"/>
    <mergeCell ref="E28:E30"/>
    <mergeCell ref="O28:O30"/>
    <mergeCell ref="C29:C30"/>
    <mergeCell ref="F30:J30"/>
    <mergeCell ref="A23:S23"/>
    <mergeCell ref="A24:A39"/>
    <mergeCell ref="B24:C24"/>
    <mergeCell ref="B25:B27"/>
    <mergeCell ref="C25:C27"/>
    <mergeCell ref="D25:D27"/>
    <mergeCell ref="E25:E27"/>
    <mergeCell ref="O25:O27"/>
    <mergeCell ref="F27:J27"/>
    <mergeCell ref="P6:T6"/>
    <mergeCell ref="P10:T10"/>
    <mergeCell ref="B11:B14"/>
    <mergeCell ref="C11:C14"/>
    <mergeCell ref="D11:D14"/>
    <mergeCell ref="E11:E14"/>
    <mergeCell ref="O11:O14"/>
    <mergeCell ref="F14:J14"/>
    <mergeCell ref="L14:M14"/>
    <mergeCell ref="L18:M18"/>
    <mergeCell ref="F6:J6"/>
    <mergeCell ref="L6:M6"/>
    <mergeCell ref="B7:C10"/>
    <mergeCell ref="D7:D10"/>
    <mergeCell ref="E7:E10"/>
    <mergeCell ref="O7:O10"/>
    <mergeCell ref="F10:J10"/>
    <mergeCell ref="L10:M10"/>
    <mergeCell ref="P14:T14"/>
    <mergeCell ref="P18:T18"/>
    <mergeCell ref="P22:T22"/>
    <mergeCell ref="O1:T1"/>
    <mergeCell ref="B59:M60"/>
    <mergeCell ref="A3:A22"/>
    <mergeCell ref="B3:B4"/>
    <mergeCell ref="C3:C4"/>
    <mergeCell ref="D3:D6"/>
    <mergeCell ref="E3:E6"/>
    <mergeCell ref="O3:O6"/>
    <mergeCell ref="B5:B6"/>
    <mergeCell ref="C5:C6"/>
    <mergeCell ref="A1:A2"/>
    <mergeCell ref="B1:C2"/>
    <mergeCell ref="D1:D2"/>
    <mergeCell ref="E1:H1"/>
    <mergeCell ref="I1:K1"/>
    <mergeCell ref="L1:N1"/>
    <mergeCell ref="B15:C18"/>
    <mergeCell ref="D15:D18"/>
    <mergeCell ref="E15:E18"/>
    <mergeCell ref="O15:O18"/>
    <mergeCell ref="F18:J1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FFDF8-4F69-4D70-9692-204D3F6E5643}">
  <dimension ref="B1:F9"/>
  <sheetViews>
    <sheetView workbookViewId="0">
      <selection activeCell="F2" sqref="F2"/>
    </sheetView>
  </sheetViews>
  <sheetFormatPr defaultRowHeight="14.4" x14ac:dyDescent="0.3"/>
  <cols>
    <col min="2" max="2" width="29.44140625" customWidth="1"/>
    <col min="3" max="3" width="17.5546875" customWidth="1"/>
    <col min="4" max="4" width="15.5546875" customWidth="1"/>
    <col min="5" max="5" width="14.6640625" customWidth="1"/>
    <col min="6" max="6" width="13.44140625" customWidth="1"/>
  </cols>
  <sheetData>
    <row r="1" spans="2:6" ht="20.25" customHeight="1" x14ac:dyDescent="0.3">
      <c r="B1" s="142" t="s">
        <v>56</v>
      </c>
      <c r="C1" s="142" t="s">
        <v>57</v>
      </c>
      <c r="D1" s="1"/>
      <c r="E1" s="1"/>
      <c r="F1" s="1"/>
    </row>
    <row r="2" spans="2:6" ht="20.25" customHeight="1" x14ac:dyDescent="0.3">
      <c r="B2" s="143" t="s">
        <v>58</v>
      </c>
      <c r="C2" s="144">
        <v>27360</v>
      </c>
      <c r="D2" s="141"/>
      <c r="E2" s="142" t="s">
        <v>59</v>
      </c>
      <c r="F2" s="146">
        <f>(C2+C3+C4)*(C7+C8)</f>
        <v>255360</v>
      </c>
    </row>
    <row r="3" spans="2:6" ht="20.25" customHeight="1" x14ac:dyDescent="0.3">
      <c r="B3" s="143" t="s">
        <v>60</v>
      </c>
      <c r="C3" s="144">
        <v>400</v>
      </c>
      <c r="D3" s="141"/>
      <c r="E3" s="1"/>
      <c r="F3" s="1"/>
    </row>
    <row r="4" spans="2:6" ht="20.25" customHeight="1" x14ac:dyDescent="0.3">
      <c r="B4" s="145" t="s">
        <v>61</v>
      </c>
      <c r="C4" s="144">
        <v>4160</v>
      </c>
      <c r="D4" s="141"/>
      <c r="E4" s="1"/>
      <c r="F4" s="1"/>
    </row>
    <row r="5" spans="2:6" ht="20.25" customHeight="1" x14ac:dyDescent="0.3">
      <c r="B5" s="1"/>
      <c r="C5" s="1"/>
      <c r="D5" s="1"/>
      <c r="E5" s="1"/>
      <c r="F5" s="1"/>
    </row>
    <row r="6" spans="2:6" ht="20.25" customHeight="1" x14ac:dyDescent="0.3">
      <c r="B6" s="142" t="s">
        <v>62</v>
      </c>
      <c r="C6" s="142" t="s">
        <v>63</v>
      </c>
      <c r="D6" s="1"/>
      <c r="E6" s="1"/>
      <c r="F6" s="1"/>
    </row>
    <row r="7" spans="2:6" ht="32.25" customHeight="1" x14ac:dyDescent="0.3">
      <c r="B7" s="147" t="s">
        <v>64</v>
      </c>
      <c r="C7" s="148">
        <v>4</v>
      </c>
      <c r="D7" s="1"/>
      <c r="E7" s="1"/>
      <c r="F7" s="1"/>
    </row>
    <row r="8" spans="2:6" ht="32.25" customHeight="1" x14ac:dyDescent="0.3">
      <c r="B8" s="147" t="s">
        <v>65</v>
      </c>
      <c r="C8" s="148">
        <v>4</v>
      </c>
      <c r="D8" s="1"/>
      <c r="E8" s="1"/>
      <c r="F8" s="1"/>
    </row>
    <row r="9" spans="2:6" x14ac:dyDescent="0.3">
      <c r="B9" s="1"/>
      <c r="C9" s="1"/>
      <c r="D9" s="1"/>
      <c r="E9" s="1"/>
      <c r="F9"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B51C0-B1BA-4A7F-AA71-929B23B3358E}">
  <dimension ref="B1:F68"/>
  <sheetViews>
    <sheetView workbookViewId="0">
      <selection activeCell="J20" sqref="J20"/>
    </sheetView>
  </sheetViews>
  <sheetFormatPr defaultRowHeight="14.4" x14ac:dyDescent="0.3"/>
  <cols>
    <col min="2" max="2" width="29.44140625" customWidth="1"/>
    <col min="3" max="3" width="16.33203125" customWidth="1"/>
    <col min="4" max="4" width="15.5546875" customWidth="1"/>
    <col min="5" max="5" width="14.6640625" customWidth="1"/>
    <col min="6" max="6" width="13.44140625" customWidth="1"/>
  </cols>
  <sheetData>
    <row r="1" spans="2:6" ht="20.25" customHeight="1" x14ac:dyDescent="0.3">
      <c r="B1" s="142" t="s">
        <v>56</v>
      </c>
      <c r="C1" s="142" t="s">
        <v>57</v>
      </c>
      <c r="D1" s="1"/>
      <c r="E1" s="1"/>
      <c r="F1" s="1"/>
    </row>
    <row r="2" spans="2:6" ht="20.25" customHeight="1" x14ac:dyDescent="0.3">
      <c r="B2" s="143" t="s">
        <v>58</v>
      </c>
      <c r="C2" s="144">
        <v>21931</v>
      </c>
      <c r="D2" s="141"/>
      <c r="E2" s="142" t="s">
        <v>59</v>
      </c>
      <c r="F2" s="146">
        <f>(C2+C3)*C6</f>
        <v>2990746</v>
      </c>
    </row>
    <row r="3" spans="2:6" ht="20.25" customHeight="1" x14ac:dyDescent="0.3">
      <c r="B3" s="143" t="s">
        <v>60</v>
      </c>
      <c r="C3" s="144">
        <v>388</v>
      </c>
      <c r="D3" s="141"/>
      <c r="E3" s="1"/>
      <c r="F3" s="1"/>
    </row>
    <row r="4" spans="2:6" ht="20.25" customHeight="1" x14ac:dyDescent="0.3">
      <c r="B4" s="1"/>
      <c r="C4" s="1"/>
      <c r="D4" s="1"/>
      <c r="E4" s="1"/>
      <c r="F4" s="1"/>
    </row>
    <row r="5" spans="2:6" ht="20.25" customHeight="1" x14ac:dyDescent="0.3">
      <c r="B5" s="142" t="s">
        <v>62</v>
      </c>
      <c r="C5" s="142" t="s">
        <v>63</v>
      </c>
      <c r="D5" s="1"/>
      <c r="E5" s="1"/>
      <c r="F5" s="1"/>
    </row>
    <row r="6" spans="2:6" ht="32.25" customHeight="1" x14ac:dyDescent="0.3">
      <c r="B6" s="147" t="s">
        <v>66</v>
      </c>
      <c r="C6" s="148">
        <f>SUM(D9:D68)</f>
        <v>134</v>
      </c>
      <c r="D6" s="1"/>
      <c r="E6" s="1"/>
      <c r="F6" s="1"/>
    </row>
    <row r="8" spans="2:6" ht="43.2" x14ac:dyDescent="0.3">
      <c r="B8" s="142" t="s">
        <v>67</v>
      </c>
      <c r="C8" s="142" t="s">
        <v>68</v>
      </c>
      <c r="D8" s="142" t="s">
        <v>69</v>
      </c>
    </row>
    <row r="9" spans="2:6" x14ac:dyDescent="0.3">
      <c r="B9" s="149" t="s">
        <v>70</v>
      </c>
      <c r="C9" s="150">
        <v>19259</v>
      </c>
      <c r="D9" s="151">
        <f>ROUNDUP(C9/26000,0)</f>
        <v>1</v>
      </c>
    </row>
    <row r="10" spans="2:6" x14ac:dyDescent="0.3">
      <c r="B10" s="149" t="s">
        <v>71</v>
      </c>
      <c r="C10" s="150">
        <v>51793</v>
      </c>
      <c r="D10" s="151">
        <f t="shared" ref="D10:D68" si="0">ROUNDUP(C10/26000,0)</f>
        <v>2</v>
      </c>
    </row>
    <row r="11" spans="2:6" x14ac:dyDescent="0.3">
      <c r="B11" s="149" t="s">
        <v>72</v>
      </c>
      <c r="C11" s="150">
        <v>25429</v>
      </c>
      <c r="D11" s="151">
        <f t="shared" si="0"/>
        <v>1</v>
      </c>
    </row>
    <row r="12" spans="2:6" x14ac:dyDescent="0.3">
      <c r="B12" s="149" t="s">
        <v>73</v>
      </c>
      <c r="C12" s="150">
        <v>22794</v>
      </c>
      <c r="D12" s="151">
        <f t="shared" si="0"/>
        <v>1</v>
      </c>
    </row>
    <row r="13" spans="2:6" x14ac:dyDescent="0.3">
      <c r="B13" s="149" t="s">
        <v>74</v>
      </c>
      <c r="C13" s="150">
        <v>4081</v>
      </c>
      <c r="D13" s="151">
        <f t="shared" si="0"/>
        <v>1</v>
      </c>
    </row>
    <row r="14" spans="2:6" x14ac:dyDescent="0.3">
      <c r="B14" s="149" t="s">
        <v>75</v>
      </c>
      <c r="C14" s="150">
        <v>22756</v>
      </c>
      <c r="D14" s="151">
        <f t="shared" si="0"/>
        <v>1</v>
      </c>
    </row>
    <row r="15" spans="2:6" x14ac:dyDescent="0.3">
      <c r="B15" s="149" t="s">
        <v>76</v>
      </c>
      <c r="C15" s="150">
        <v>19843</v>
      </c>
      <c r="D15" s="151">
        <f t="shared" si="0"/>
        <v>1</v>
      </c>
    </row>
    <row r="16" spans="2:6" x14ac:dyDescent="0.3">
      <c r="B16" s="149" t="s">
        <v>77</v>
      </c>
      <c r="C16" s="150">
        <v>23521</v>
      </c>
      <c r="D16" s="151">
        <f t="shared" si="0"/>
        <v>1</v>
      </c>
    </row>
    <row r="17" spans="2:4" x14ac:dyDescent="0.3">
      <c r="B17" s="149" t="s">
        <v>78</v>
      </c>
      <c r="C17" s="150">
        <v>14464</v>
      </c>
      <c r="D17" s="151">
        <f t="shared" si="0"/>
        <v>1</v>
      </c>
    </row>
    <row r="18" spans="2:4" x14ac:dyDescent="0.3">
      <c r="B18" s="149" t="s">
        <v>79</v>
      </c>
      <c r="C18" s="150">
        <v>41248</v>
      </c>
      <c r="D18" s="151">
        <f t="shared" si="0"/>
        <v>2</v>
      </c>
    </row>
    <row r="19" spans="2:4" x14ac:dyDescent="0.3">
      <c r="B19" s="149" t="s">
        <v>80</v>
      </c>
      <c r="C19" s="150">
        <v>20898</v>
      </c>
      <c r="D19" s="151">
        <f t="shared" si="0"/>
        <v>1</v>
      </c>
    </row>
    <row r="20" spans="2:4" x14ac:dyDescent="0.3">
      <c r="B20" s="149" t="s">
        <v>81</v>
      </c>
      <c r="C20" s="150">
        <v>24668</v>
      </c>
      <c r="D20" s="151">
        <f t="shared" si="0"/>
        <v>1</v>
      </c>
    </row>
    <row r="21" spans="2:4" x14ac:dyDescent="0.3">
      <c r="B21" s="149" t="s">
        <v>82</v>
      </c>
      <c r="C21" s="150">
        <v>29297</v>
      </c>
      <c r="D21" s="151">
        <f t="shared" si="0"/>
        <v>2</v>
      </c>
    </row>
    <row r="22" spans="2:4" x14ac:dyDescent="0.3">
      <c r="B22" s="149" t="s">
        <v>83</v>
      </c>
      <c r="C22" s="150">
        <v>9919</v>
      </c>
      <c r="D22" s="151">
        <f t="shared" si="0"/>
        <v>1</v>
      </c>
    </row>
    <row r="23" spans="2:4" x14ac:dyDescent="0.3">
      <c r="B23" s="149" t="s">
        <v>84</v>
      </c>
      <c r="C23" s="150">
        <v>297906</v>
      </c>
      <c r="D23" s="151">
        <f t="shared" si="0"/>
        <v>12</v>
      </c>
    </row>
    <row r="24" spans="2:4" x14ac:dyDescent="0.3">
      <c r="B24" s="149" t="s">
        <v>85</v>
      </c>
      <c r="C24" s="150">
        <v>95491</v>
      </c>
      <c r="D24" s="151">
        <f t="shared" si="0"/>
        <v>4</v>
      </c>
    </row>
    <row r="25" spans="2:4" x14ac:dyDescent="0.3">
      <c r="B25" s="149" t="s">
        <v>86</v>
      </c>
      <c r="C25" s="150">
        <v>10959</v>
      </c>
      <c r="D25" s="151">
        <f t="shared" si="0"/>
        <v>1</v>
      </c>
    </row>
    <row r="26" spans="2:4" x14ac:dyDescent="0.3">
      <c r="B26" s="149" t="s">
        <v>87</v>
      </c>
      <c r="C26" s="150">
        <v>45913</v>
      </c>
      <c r="D26" s="151">
        <f t="shared" si="0"/>
        <v>2</v>
      </c>
    </row>
    <row r="27" spans="2:4" x14ac:dyDescent="0.3">
      <c r="B27" s="149" t="s">
        <v>88</v>
      </c>
      <c r="C27" s="150">
        <v>25401</v>
      </c>
      <c r="D27" s="151">
        <f t="shared" si="0"/>
        <v>1</v>
      </c>
    </row>
    <row r="28" spans="2:4" x14ac:dyDescent="0.3">
      <c r="B28" s="149" t="s">
        <v>89</v>
      </c>
      <c r="C28" s="150">
        <v>152237</v>
      </c>
      <c r="D28" s="151">
        <f t="shared" si="0"/>
        <v>6</v>
      </c>
    </row>
    <row r="29" spans="2:4" x14ac:dyDescent="0.3">
      <c r="B29" s="149" t="s">
        <v>90</v>
      </c>
      <c r="C29" s="150">
        <v>59419</v>
      </c>
      <c r="D29" s="151">
        <f t="shared" si="0"/>
        <v>3</v>
      </c>
    </row>
    <row r="30" spans="2:4" x14ac:dyDescent="0.3">
      <c r="B30" s="149" t="s">
        <v>91</v>
      </c>
      <c r="C30" s="150">
        <v>37404</v>
      </c>
      <c r="D30" s="151">
        <f t="shared" si="0"/>
        <v>2</v>
      </c>
    </row>
    <row r="31" spans="2:4" x14ac:dyDescent="0.3">
      <c r="B31" s="149" t="s">
        <v>92</v>
      </c>
      <c r="C31" s="150">
        <v>16232</v>
      </c>
      <c r="D31" s="151">
        <f t="shared" si="0"/>
        <v>1</v>
      </c>
    </row>
    <row r="32" spans="2:4" x14ac:dyDescent="0.3">
      <c r="B32" s="149" t="s">
        <v>93</v>
      </c>
      <c r="C32" s="150">
        <v>17892</v>
      </c>
      <c r="D32" s="151">
        <f t="shared" si="0"/>
        <v>1</v>
      </c>
    </row>
    <row r="33" spans="2:4" x14ac:dyDescent="0.3">
      <c r="B33" s="149" t="s">
        <v>94</v>
      </c>
      <c r="C33" s="150">
        <v>54291</v>
      </c>
      <c r="D33" s="151">
        <f t="shared" si="0"/>
        <v>3</v>
      </c>
    </row>
    <row r="34" spans="2:4" x14ac:dyDescent="0.3">
      <c r="B34" s="149" t="s">
        <v>95</v>
      </c>
      <c r="C34" s="150">
        <v>51612</v>
      </c>
      <c r="D34" s="151">
        <f t="shared" si="0"/>
        <v>2</v>
      </c>
    </row>
    <row r="35" spans="2:4" x14ac:dyDescent="0.3">
      <c r="B35" s="149" t="s">
        <v>96</v>
      </c>
      <c r="C35" s="150">
        <v>16926</v>
      </c>
      <c r="D35" s="151">
        <f t="shared" si="0"/>
        <v>1</v>
      </c>
    </row>
    <row r="36" spans="2:4" x14ac:dyDescent="0.3">
      <c r="B36" s="149" t="s">
        <v>97</v>
      </c>
      <c r="C36" s="150">
        <v>3903</v>
      </c>
      <c r="D36" s="151">
        <f t="shared" si="0"/>
        <v>1</v>
      </c>
    </row>
    <row r="37" spans="2:4" x14ac:dyDescent="0.3">
      <c r="B37" s="149" t="s">
        <v>98</v>
      </c>
      <c r="C37" s="150">
        <v>7236</v>
      </c>
      <c r="D37" s="151">
        <f t="shared" si="0"/>
        <v>1</v>
      </c>
    </row>
    <row r="38" spans="2:4" x14ac:dyDescent="0.3">
      <c r="B38" s="149" t="s">
        <v>99</v>
      </c>
      <c r="C38" s="150">
        <v>18497</v>
      </c>
      <c r="D38" s="151">
        <f t="shared" si="0"/>
        <v>1</v>
      </c>
    </row>
    <row r="39" spans="2:4" x14ac:dyDescent="0.3">
      <c r="B39" s="149" t="s">
        <v>100</v>
      </c>
      <c r="C39" s="150">
        <v>16976</v>
      </c>
      <c r="D39" s="151">
        <f t="shared" si="0"/>
        <v>1</v>
      </c>
    </row>
    <row r="40" spans="2:4" x14ac:dyDescent="0.3">
      <c r="B40" s="149" t="s">
        <v>101</v>
      </c>
      <c r="C40" s="150">
        <v>87590</v>
      </c>
      <c r="D40" s="151">
        <f t="shared" si="0"/>
        <v>4</v>
      </c>
    </row>
    <row r="41" spans="2:4" x14ac:dyDescent="0.3">
      <c r="B41" s="149" t="s">
        <v>102</v>
      </c>
      <c r="C41" s="150">
        <v>35264</v>
      </c>
      <c r="D41" s="151">
        <f t="shared" si="0"/>
        <v>2</v>
      </c>
    </row>
    <row r="42" spans="2:4" x14ac:dyDescent="0.3">
      <c r="B42" s="149" t="s">
        <v>103</v>
      </c>
      <c r="C42" s="150">
        <v>22668</v>
      </c>
      <c r="D42" s="151">
        <f t="shared" si="0"/>
        <v>1</v>
      </c>
    </row>
    <row r="43" spans="2:4" x14ac:dyDescent="0.3">
      <c r="B43" s="149" t="s">
        <v>104</v>
      </c>
      <c r="C43" s="150">
        <v>33251</v>
      </c>
      <c r="D43" s="151">
        <f t="shared" si="0"/>
        <v>2</v>
      </c>
    </row>
    <row r="44" spans="2:4" x14ac:dyDescent="0.3">
      <c r="B44" s="149" t="s">
        <v>105</v>
      </c>
      <c r="C44" s="150">
        <v>25010</v>
      </c>
      <c r="D44" s="151">
        <f t="shared" si="0"/>
        <v>1</v>
      </c>
    </row>
    <row r="45" spans="2:4" x14ac:dyDescent="0.3">
      <c r="B45" s="149" t="s">
        <v>106</v>
      </c>
      <c r="C45" s="150">
        <v>34559</v>
      </c>
      <c r="D45" s="151">
        <f t="shared" si="0"/>
        <v>2</v>
      </c>
    </row>
    <row r="46" spans="2:4" x14ac:dyDescent="0.3">
      <c r="B46" s="149" t="s">
        <v>107</v>
      </c>
      <c r="C46" s="150">
        <v>30620</v>
      </c>
      <c r="D46" s="151">
        <f t="shared" si="0"/>
        <v>2</v>
      </c>
    </row>
    <row r="47" spans="2:4" x14ac:dyDescent="0.3">
      <c r="B47" s="149" t="s">
        <v>108</v>
      </c>
      <c r="C47" s="150">
        <v>7292</v>
      </c>
      <c r="D47" s="151">
        <f t="shared" si="0"/>
        <v>1</v>
      </c>
    </row>
    <row r="48" spans="2:4" x14ac:dyDescent="0.3">
      <c r="B48" s="149" t="s">
        <v>109</v>
      </c>
      <c r="C48" s="150">
        <v>28204</v>
      </c>
      <c r="D48" s="151">
        <f t="shared" si="0"/>
        <v>2</v>
      </c>
    </row>
    <row r="49" spans="2:4" x14ac:dyDescent="0.3">
      <c r="B49" s="149" t="s">
        <v>110</v>
      </c>
      <c r="C49" s="150">
        <v>26318</v>
      </c>
      <c r="D49" s="151">
        <f t="shared" si="0"/>
        <v>2</v>
      </c>
    </row>
    <row r="50" spans="2:4" x14ac:dyDescent="0.3">
      <c r="B50" s="149" t="s">
        <v>111</v>
      </c>
      <c r="C50" s="150">
        <v>29699</v>
      </c>
      <c r="D50" s="151">
        <f t="shared" si="0"/>
        <v>2</v>
      </c>
    </row>
    <row r="51" spans="2:4" x14ac:dyDescent="0.3">
      <c r="B51" s="149" t="s">
        <v>112</v>
      </c>
      <c r="C51" s="150">
        <v>101756</v>
      </c>
      <c r="D51" s="151">
        <f t="shared" si="0"/>
        <v>4</v>
      </c>
    </row>
    <row r="52" spans="2:4" x14ac:dyDescent="0.3">
      <c r="B52" s="149" t="s">
        <v>113</v>
      </c>
      <c r="C52" s="150">
        <v>40775</v>
      </c>
      <c r="D52" s="151">
        <f t="shared" si="0"/>
        <v>2</v>
      </c>
    </row>
    <row r="53" spans="2:4" x14ac:dyDescent="0.3">
      <c r="B53" s="149" t="s">
        <v>114</v>
      </c>
      <c r="C53" s="150">
        <v>21586</v>
      </c>
      <c r="D53" s="151">
        <f t="shared" si="0"/>
        <v>1</v>
      </c>
    </row>
    <row r="54" spans="2:4" x14ac:dyDescent="0.3">
      <c r="B54" s="149" t="s">
        <v>115</v>
      </c>
      <c r="C54" s="150">
        <v>38493</v>
      </c>
      <c r="D54" s="151">
        <f t="shared" si="0"/>
        <v>2</v>
      </c>
    </row>
    <row r="55" spans="2:4" x14ac:dyDescent="0.3">
      <c r="B55" s="149" t="s">
        <v>116</v>
      </c>
      <c r="C55" s="150">
        <v>14889</v>
      </c>
      <c r="D55" s="151">
        <f t="shared" si="0"/>
        <v>1</v>
      </c>
    </row>
    <row r="56" spans="2:4" x14ac:dyDescent="0.3">
      <c r="B56" s="149" t="s">
        <v>117</v>
      </c>
      <c r="C56" s="150">
        <v>15831</v>
      </c>
      <c r="D56" s="151">
        <f t="shared" si="0"/>
        <v>1</v>
      </c>
    </row>
    <row r="57" spans="2:4" x14ac:dyDescent="0.3">
      <c r="B57" s="149" t="s">
        <v>118</v>
      </c>
      <c r="C57" s="150">
        <v>22478</v>
      </c>
      <c r="D57" s="151">
        <f t="shared" si="0"/>
        <v>1</v>
      </c>
    </row>
    <row r="58" spans="2:4" x14ac:dyDescent="0.3">
      <c r="B58" s="149" t="s">
        <v>119</v>
      </c>
      <c r="C58" s="150">
        <v>37403</v>
      </c>
      <c r="D58" s="151">
        <f t="shared" si="0"/>
        <v>2</v>
      </c>
    </row>
    <row r="59" spans="2:4" x14ac:dyDescent="0.3">
      <c r="B59" s="149" t="s">
        <v>120</v>
      </c>
      <c r="C59" s="150">
        <v>39536</v>
      </c>
      <c r="D59" s="151">
        <f t="shared" si="0"/>
        <v>2</v>
      </c>
    </row>
    <row r="60" spans="2:4" x14ac:dyDescent="0.3">
      <c r="B60" s="149" t="s">
        <v>121</v>
      </c>
      <c r="C60" s="150">
        <v>32322</v>
      </c>
      <c r="D60" s="151">
        <f t="shared" si="0"/>
        <v>2</v>
      </c>
    </row>
    <row r="61" spans="2:4" x14ac:dyDescent="0.3">
      <c r="B61" s="149" t="s">
        <v>122</v>
      </c>
      <c r="C61" s="150">
        <v>34028</v>
      </c>
      <c r="D61" s="151">
        <f t="shared" si="0"/>
        <v>2</v>
      </c>
    </row>
    <row r="62" spans="2:4" x14ac:dyDescent="0.3">
      <c r="B62" s="149" t="s">
        <v>123</v>
      </c>
      <c r="C62" s="150">
        <v>37266</v>
      </c>
      <c r="D62" s="151">
        <f t="shared" si="0"/>
        <v>2</v>
      </c>
    </row>
    <row r="63" spans="2:4" x14ac:dyDescent="0.3">
      <c r="B63" s="149" t="s">
        <v>124</v>
      </c>
      <c r="C63" s="150">
        <v>20746</v>
      </c>
      <c r="D63" s="151">
        <f t="shared" si="0"/>
        <v>1</v>
      </c>
    </row>
    <row r="64" spans="2:4" x14ac:dyDescent="0.3">
      <c r="B64" s="149" t="s">
        <v>125</v>
      </c>
      <c r="C64" s="150">
        <v>34942</v>
      </c>
      <c r="D64" s="151">
        <f t="shared" si="0"/>
        <v>2</v>
      </c>
    </row>
    <row r="65" spans="2:4" x14ac:dyDescent="0.3">
      <c r="B65" s="149" t="s">
        <v>126</v>
      </c>
      <c r="C65" s="150">
        <v>563012</v>
      </c>
      <c r="D65" s="151">
        <f t="shared" si="0"/>
        <v>22</v>
      </c>
    </row>
    <row r="66" spans="2:4" x14ac:dyDescent="0.3">
      <c r="B66" s="149" t="s">
        <v>127</v>
      </c>
      <c r="C66" s="150">
        <v>98001</v>
      </c>
      <c r="D66" s="151">
        <f t="shared" si="0"/>
        <v>4</v>
      </c>
    </row>
    <row r="67" spans="2:4" x14ac:dyDescent="0.3">
      <c r="B67" s="149" t="s">
        <v>128</v>
      </c>
      <c r="C67" s="150">
        <v>19404</v>
      </c>
      <c r="D67" s="151">
        <f t="shared" si="0"/>
        <v>1</v>
      </c>
    </row>
    <row r="68" spans="2:4" x14ac:dyDescent="0.3">
      <c r="B68" s="149" t="s">
        <v>129</v>
      </c>
      <c r="C68" s="150">
        <v>14790</v>
      </c>
      <c r="D68" s="151">
        <f t="shared" si="0"/>
        <v>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D88F7-DE2E-44EA-B561-3051D895E466}">
  <dimension ref="R28:X32"/>
  <sheetViews>
    <sheetView showGridLines="0" workbookViewId="0">
      <selection activeCell="T35" sqref="T35"/>
    </sheetView>
  </sheetViews>
  <sheetFormatPr defaultRowHeight="14.4" x14ac:dyDescent="0.3"/>
  <sheetData>
    <row r="28" spans="18:24" x14ac:dyDescent="0.3">
      <c r="R28">
        <v>27379</v>
      </c>
      <c r="S28">
        <v>120</v>
      </c>
      <c r="T28">
        <v>90</v>
      </c>
      <c r="V28">
        <v>60</v>
      </c>
      <c r="W28">
        <v>45</v>
      </c>
      <c r="X28">
        <v>30</v>
      </c>
    </row>
    <row r="29" spans="18:24" x14ac:dyDescent="0.3">
      <c r="S29">
        <f>100-84.31</f>
        <v>15.689999999999998</v>
      </c>
      <c r="T29">
        <f>100-70.44</f>
        <v>29.560000000000002</v>
      </c>
      <c r="V29">
        <f>100-58.34</f>
        <v>41.66</v>
      </c>
      <c r="W29">
        <f>100-50.55</f>
        <v>49.45</v>
      </c>
      <c r="X29">
        <f>100-40.48</f>
        <v>59.52</v>
      </c>
    </row>
    <row r="30" spans="18:24" x14ac:dyDescent="0.3">
      <c r="S30">
        <f>R28*S29/100</f>
        <v>4295.7650999999996</v>
      </c>
      <c r="T30">
        <f>R28*T29/100</f>
        <v>8093.2324000000008</v>
      </c>
      <c r="V30">
        <f>R28*V29/100</f>
        <v>11406.091399999999</v>
      </c>
      <c r="W30">
        <f>R28*W29/100</f>
        <v>13538.915500000001</v>
      </c>
      <c r="X30">
        <f>R28*X29/100</f>
        <v>16295.980800000001</v>
      </c>
    </row>
    <row r="32" spans="18:24" x14ac:dyDescent="0.3">
      <c r="T32">
        <f>R28-T30</f>
        <v>19285.767599999999</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3D2CB1641AA37F43B60058CCA3D9A778" ma:contentTypeVersion="8" ma:contentTypeDescription="Kurkite naują dokumentą." ma:contentTypeScope="" ma:versionID="d1a2bbac41e09e040ada84478e97a920">
  <xsd:schema xmlns:xsd="http://www.w3.org/2001/XMLSchema" xmlns:xs="http://www.w3.org/2001/XMLSchema" xmlns:p="http://schemas.microsoft.com/office/2006/metadata/properties" xmlns:ns2="231eaddb-063b-483d-aa8e-b56b2441de22" xmlns:ns3="fa73c82b-5984-4909-923e-f541e4432c07" targetNamespace="http://schemas.microsoft.com/office/2006/metadata/properties" ma:root="true" ma:fieldsID="ff22c00e176cbcbd89cf72bf1c54a477" ns2:_="" ns3:_="">
    <xsd:import namespace="231eaddb-063b-483d-aa8e-b56b2441de22"/>
    <xsd:import namespace="fa73c82b-5984-4909-923e-f541e4432c0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1eaddb-063b-483d-aa8e-b56b2441de22" elementFormDefault="qualified">
    <xsd:import namespace="http://schemas.microsoft.com/office/2006/documentManagement/types"/>
    <xsd:import namespace="http://schemas.microsoft.com/office/infopath/2007/PartnerControls"/>
    <xsd:element name="SharedWithUsers" ma:index="8"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a73c82b-5984-4909-923e-f541e4432c0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31eaddb-063b-483d-aa8e-b56b2441de22">
      <UserInfo>
        <DisplayName>Marius Čiurlionis</DisplayName>
        <AccountId>416</AccountId>
        <AccountType/>
      </UserInfo>
    </SharedWithUsers>
  </documentManagement>
</p:properties>
</file>

<file path=customXml/itemProps1.xml><?xml version="1.0" encoding="utf-8"?>
<ds:datastoreItem xmlns:ds="http://schemas.openxmlformats.org/officeDocument/2006/customXml" ds:itemID="{8B885FCB-3428-46C4-909F-2B6A932304A9}">
  <ds:schemaRefs>
    <ds:schemaRef ds:uri="http://schemas.microsoft.com/sharepoint/v3/contenttype/forms"/>
  </ds:schemaRefs>
</ds:datastoreItem>
</file>

<file path=customXml/itemProps2.xml><?xml version="1.0" encoding="utf-8"?>
<ds:datastoreItem xmlns:ds="http://schemas.openxmlformats.org/officeDocument/2006/customXml" ds:itemID="{DD55C01A-AE0F-42DC-99CB-32C56C3EC2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1eaddb-063b-483d-aa8e-b56b2441de22"/>
    <ds:schemaRef ds:uri="fa73c82b-5984-4909-923e-f541e4432c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0E19CF-D07F-4CEE-8EF9-409C9A11F7D9}">
  <ds:schemaRefs>
    <ds:schemaRef ds:uri="http://schemas.microsoft.com/office/2006/metadata/properties"/>
    <ds:schemaRef ds:uri="http://schemas.microsoft.com/office/infopath/2007/PartnerControls"/>
    <ds:schemaRef ds:uri="231eaddb-063b-483d-aa8e-b56b2441de2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9</vt:i4>
      </vt:variant>
      <vt:variant>
        <vt:lpstr>Įvardytieji diapazonai</vt:lpstr>
      </vt:variant>
      <vt:variant>
        <vt:i4>62</vt:i4>
      </vt:variant>
    </vt:vector>
  </HeadingPairs>
  <TitlesOfParts>
    <vt:vector size="71" baseType="lpstr">
      <vt:lpstr>Apibendrinimas</vt:lpstr>
      <vt:lpstr>Alternatyvos</vt:lpstr>
      <vt:lpstr>IPP finansavimo poreikiai</vt:lpstr>
      <vt:lpstr>I alternatyva</vt:lpstr>
      <vt:lpstr>II alternatyva</vt:lpstr>
      <vt:lpstr>III alternatyva</vt:lpstr>
      <vt:lpstr>SPPD licencijavimui</vt:lpstr>
      <vt:lpstr>Savivaldybių koordinatoriai</vt:lpstr>
      <vt:lpstr>Slaugos lovų mažinimo etapai</vt:lpstr>
      <vt:lpstr>am_centre_2023</vt:lpstr>
      <vt:lpstr>am_centre_2024</vt:lpstr>
      <vt:lpstr>am_centre_2025</vt:lpstr>
      <vt:lpstr>am_centre_2026</vt:lpstr>
      <vt:lpstr>am_namai_2023</vt:lpstr>
      <vt:lpstr>am_namai_2024</vt:lpstr>
      <vt:lpstr>am_namai_2025</vt:lpstr>
      <vt:lpstr>am_namai_2026</vt:lpstr>
      <vt:lpstr>am_namie_2023</vt:lpstr>
      <vt:lpstr>am_namie_2024</vt:lpstr>
      <vt:lpstr>am_namie_2025</vt:lpstr>
      <vt:lpstr>am_namie_2026</vt:lpstr>
      <vt:lpstr>be_reformos_soc_centre</vt:lpstr>
      <vt:lpstr>be_reformos_soc_namie</vt:lpstr>
      <vt:lpstr>be_reformos_soc_namuose</vt:lpstr>
      <vt:lpstr>ipp_centrai</vt:lpstr>
      <vt:lpstr>ipp_namai</vt:lpstr>
      <vt:lpstr>ipp_namie</vt:lpstr>
      <vt:lpstr>psdf_centre</vt:lpstr>
      <vt:lpstr>psdf_namai_2023</vt:lpstr>
      <vt:lpstr>psdf_namai_2024</vt:lpstr>
      <vt:lpstr>psdf_namai_2025</vt:lpstr>
      <vt:lpstr>psdf_namai_2026</vt:lpstr>
      <vt:lpstr>psdf_namie_2023</vt:lpstr>
      <vt:lpstr>psdf_namie_2024</vt:lpstr>
      <vt:lpstr>psdf_namie_2025</vt:lpstr>
      <vt:lpstr>psdf_namie_2026</vt:lpstr>
      <vt:lpstr>savivalda</vt:lpstr>
      <vt:lpstr>sppd</vt:lpstr>
      <vt:lpstr>status_quo_am_centre</vt:lpstr>
      <vt:lpstr>status_quo_am_namai</vt:lpstr>
      <vt:lpstr>status_quo_am_namie</vt:lpstr>
      <vt:lpstr>status_quo_psdf_centre</vt:lpstr>
      <vt:lpstr>status_quo_psdf_namai</vt:lpstr>
      <vt:lpstr>status_quo_psdf_namie</vt:lpstr>
      <vt:lpstr>status_quo_vb_centrai</vt:lpstr>
      <vt:lpstr>status_quo_vb_namai</vt:lpstr>
      <vt:lpstr>status_quo_vb_namie</vt:lpstr>
      <vt:lpstr>suma_am_lovos_2023</vt:lpstr>
      <vt:lpstr>suma_am_lovos_2024</vt:lpstr>
      <vt:lpstr>suma_am_lovos_2025</vt:lpstr>
      <vt:lpstr>suma_am_lovos_2026</vt:lpstr>
      <vt:lpstr>suma_psdf_lovos_2023</vt:lpstr>
      <vt:lpstr>suma_psdf_lovos_2024</vt:lpstr>
      <vt:lpstr>suma_psdf_lovos_2025</vt:lpstr>
      <vt:lpstr>suma_psdf_lovos_2026</vt:lpstr>
      <vt:lpstr>suma_vb_lovos_2023</vt:lpstr>
      <vt:lpstr>suma_vb_lovos_2024</vt:lpstr>
      <vt:lpstr>suma_vb_lovos_2025</vt:lpstr>
      <vt:lpstr>suma_vb_lovos_2026</vt:lpstr>
      <vt:lpstr>vb_centre_2023</vt:lpstr>
      <vt:lpstr>vb_centre_2024</vt:lpstr>
      <vt:lpstr>vb_centre_2025</vt:lpstr>
      <vt:lpstr>vb_centre_2026</vt:lpstr>
      <vt:lpstr>vb_namai_2023</vt:lpstr>
      <vt:lpstr>vb_namai_2024</vt:lpstr>
      <vt:lpstr>vb_namai_2025</vt:lpstr>
      <vt:lpstr>vb_namai_2026</vt:lpstr>
      <vt:lpstr>vb_namie_2023</vt:lpstr>
      <vt:lpstr>vb_namie_2024</vt:lpstr>
      <vt:lpstr>vb_namie_2025</vt:lpstr>
      <vt:lpstr>vb_namie_2026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Aušrinė Garbačiauskienė</dc:creator>
  <cp:keywords/>
  <dc:description/>
  <cp:lastModifiedBy>Regina Kiselienė</cp:lastModifiedBy>
  <cp:revision/>
  <dcterms:created xsi:type="dcterms:W3CDTF">2022-07-01T13:33:52Z</dcterms:created>
  <dcterms:modified xsi:type="dcterms:W3CDTF">2022-12-15T12:24:54Z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0x0101003D2CB1641AA37F43B60058CCA3D9A778</vt:lpwstr>
  </property>
</Properties>
</file>