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Y:\Biudžetas 2027 m._rugsėjis\medžiaga Tarybai, kai 2027 m. PP 2,04 proc._PATIKSLINIMAI PO TARYBOS\"/>
    </mc:Choice>
  </mc:AlternateContent>
  <xr:revisionPtr revIDLastSave="0" documentId="13_ncr:1_{9E5AA321-D864-4FA4-916B-524654E3B3E2}" xr6:coauthVersionLast="36" xr6:coauthVersionMax="47" xr10:uidLastSave="{00000000-0000-0000-0000-000000000000}"/>
  <bookViews>
    <workbookView xWindow="5850" yWindow="765" windowWidth="30585" windowHeight="16650" tabRatio="792" firstSheet="6" activeTab="8" xr2:uid="{00000000-000D-0000-FFFF-FFFF00000000}"/>
  </bookViews>
  <sheets>
    <sheet name="1 lentelė 1-2 lapai" sheetId="121" r:id="rId1"/>
    <sheet name=" 2 lentelė_1-4 lapai" sheetId="2" r:id="rId2"/>
    <sheet name="3 lentelė_1-2 lapai" sheetId="118" r:id="rId3"/>
    <sheet name="4 lentelė 1 lapas" sheetId="97" r:id="rId4"/>
    <sheet name="4 lentelė 2 lapas" sheetId="112" r:id="rId5"/>
    <sheet name="4 lentelė 3,4,5 lapas_II" sheetId="113" r:id="rId6"/>
    <sheet name="5 lentelė" sheetId="102" r:id="rId7"/>
    <sheet name=" 6 lentelė 1-2 lapai" sheetId="103" r:id="rId8"/>
    <sheet name="7 lentelė" sheetId="105" r:id="rId9"/>
    <sheet name="8 lentelė" sheetId="119" r:id="rId10"/>
    <sheet name="9 lentelė" sheetId="104" r:id="rId11"/>
    <sheet name="10 lentelė" sheetId="109" r:id="rId12"/>
  </sheets>
  <externalReferences>
    <externalReference r:id="rId13"/>
  </externalReferences>
  <definedNames>
    <definedName name="_xlnm.Print_Area" localSheetId="11">'10 lentelė'!$A$1:$H$36</definedName>
    <definedName name="_xlnm.Print_Area" localSheetId="2">'3 lentelė_1-2 lapai'!$A$62:$G$115</definedName>
    <definedName name="TableName">"Dummy"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09" i="118" l="1"/>
  <c r="E104" i="118"/>
  <c r="E7" i="118"/>
  <c r="E114" i="118"/>
  <c r="E113" i="118"/>
  <c r="E112" i="118"/>
  <c r="E111" i="118"/>
  <c r="E110" i="118"/>
  <c r="E108" i="118"/>
  <c r="E107" i="118"/>
  <c r="E106" i="118"/>
  <c r="G34" i="118"/>
  <c r="G275" i="2" l="1"/>
  <c r="F275" i="2"/>
  <c r="G110" i="118"/>
  <c r="F110" i="118"/>
  <c r="D110" i="118" l="1"/>
  <c r="B10" i="102"/>
  <c r="C10" i="102" l="1"/>
  <c r="D10" i="102"/>
  <c r="E10" i="102"/>
  <c r="F14" i="104" l="1"/>
  <c r="B44" i="118" l="1"/>
  <c r="C44" i="118"/>
  <c r="D44" i="118"/>
  <c r="D41" i="118" s="1"/>
  <c r="E44" i="118"/>
  <c r="F44" i="118"/>
  <c r="G44" i="118"/>
  <c r="G57" i="118"/>
  <c r="F57" i="118"/>
  <c r="E57" i="118"/>
  <c r="D57" i="118"/>
  <c r="E76" i="118"/>
  <c r="G80" i="118" l="1"/>
  <c r="D80" i="118"/>
  <c r="D67" i="118"/>
  <c r="C16" i="104" l="1"/>
  <c r="D33" i="109" l="1"/>
  <c r="E32" i="109"/>
  <c r="D30" i="109"/>
  <c r="C27" i="109"/>
  <c r="H26" i="109"/>
  <c r="H24" i="109" s="1"/>
  <c r="G26" i="109"/>
  <c r="G24" i="109" s="1"/>
  <c r="D25" i="109"/>
  <c r="D24" i="109" s="1"/>
  <c r="F24" i="109"/>
  <c r="E24" i="109"/>
  <c r="C24" i="109"/>
  <c r="H21" i="109"/>
  <c r="G21" i="109"/>
  <c r="G17" i="109" s="1"/>
  <c r="F21" i="109"/>
  <c r="F17" i="109" s="1"/>
  <c r="E21" i="109"/>
  <c r="D21" i="109"/>
  <c r="H19" i="109"/>
  <c r="E19" i="109"/>
  <c r="D19" i="109"/>
  <c r="E18" i="109"/>
  <c r="D18" i="109"/>
  <c r="C17" i="109"/>
  <c r="H13" i="109"/>
  <c r="H9" i="109" s="1"/>
  <c r="G13" i="109"/>
  <c r="G9" i="109" s="1"/>
  <c r="F13" i="109"/>
  <c r="F9" i="109" s="1"/>
  <c r="E13" i="109"/>
  <c r="E9" i="109" s="1"/>
  <c r="D13" i="109"/>
  <c r="D9" i="109" s="1"/>
  <c r="C13" i="109"/>
  <c r="C9" i="109" s="1"/>
  <c r="H42" i="104"/>
  <c r="G42" i="104"/>
  <c r="F42" i="104"/>
  <c r="E42" i="104"/>
  <c r="D42" i="104"/>
  <c r="H39" i="104"/>
  <c r="G39" i="104"/>
  <c r="F39" i="104"/>
  <c r="E39" i="104"/>
  <c r="D39" i="104"/>
  <c r="H38" i="104"/>
  <c r="G38" i="104"/>
  <c r="E38" i="104"/>
  <c r="D38" i="104"/>
  <c r="H36" i="104"/>
  <c r="G36" i="104"/>
  <c r="F36" i="104"/>
  <c r="E36" i="104"/>
  <c r="D36" i="104"/>
  <c r="H35" i="104"/>
  <c r="G35" i="104"/>
  <c r="F35" i="104"/>
  <c r="E35" i="104"/>
  <c r="D35" i="104"/>
  <c r="H34" i="104"/>
  <c r="G34" i="104"/>
  <c r="F34" i="104"/>
  <c r="E34" i="104"/>
  <c r="D34" i="104"/>
  <c r="H32" i="104"/>
  <c r="G32" i="104"/>
  <c r="F32" i="104"/>
  <c r="E32" i="104"/>
  <c r="D32" i="104"/>
  <c r="H31" i="104"/>
  <c r="G31" i="104"/>
  <c r="F31" i="104"/>
  <c r="E31" i="104"/>
  <c r="H30" i="104"/>
  <c r="G30" i="104"/>
  <c r="F30" i="104"/>
  <c r="E30" i="104"/>
  <c r="H29" i="104"/>
  <c r="G29" i="104"/>
  <c r="F29" i="104"/>
  <c r="E29" i="104"/>
  <c r="H28" i="104"/>
  <c r="G28" i="104"/>
  <c r="F28" i="104"/>
  <c r="E28" i="104"/>
  <c r="D28" i="104"/>
  <c r="H27" i="104"/>
  <c r="G27" i="104"/>
  <c r="F27" i="104"/>
  <c r="E27" i="104"/>
  <c r="D27" i="104"/>
  <c r="E26" i="104"/>
  <c r="H24" i="104"/>
  <c r="G24" i="104"/>
  <c r="F24" i="104"/>
  <c r="E24" i="104"/>
  <c r="D24" i="104"/>
  <c r="H23" i="104"/>
  <c r="G23" i="104"/>
  <c r="F23" i="104"/>
  <c r="E23" i="104"/>
  <c r="D23" i="104"/>
  <c r="H22" i="104"/>
  <c r="G22" i="104"/>
  <c r="F22" i="104"/>
  <c r="E22" i="104"/>
  <c r="D22" i="104"/>
  <c r="H21" i="104"/>
  <c r="G21" i="104"/>
  <c r="F21" i="104"/>
  <c r="E21" i="104"/>
  <c r="D21" i="104"/>
  <c r="H19" i="104"/>
  <c r="G19" i="104"/>
  <c r="F19" i="104"/>
  <c r="E19" i="104"/>
  <c r="D19" i="104"/>
  <c r="H18" i="104"/>
  <c r="G18" i="104"/>
  <c r="F18" i="104"/>
  <c r="E18" i="104"/>
  <c r="D18" i="104"/>
  <c r="H17" i="104"/>
  <c r="G17" i="104"/>
  <c r="F17" i="104"/>
  <c r="E17" i="104"/>
  <c r="D17" i="104"/>
  <c r="H16" i="104"/>
  <c r="G16" i="104"/>
  <c r="F16" i="104"/>
  <c r="E16" i="104"/>
  <c r="D16" i="104"/>
  <c r="H14" i="104"/>
  <c r="G14" i="104"/>
  <c r="E14" i="104"/>
  <c r="D14" i="104"/>
  <c r="G8" i="109" l="1"/>
  <c r="E37" i="104"/>
  <c r="F8" i="109"/>
  <c r="D20" i="104"/>
  <c r="E17" i="109"/>
  <c r="E34" i="109" s="1"/>
  <c r="D17" i="109"/>
  <c r="D8" i="109" s="1"/>
  <c r="H17" i="109"/>
  <c r="H8" i="109" s="1"/>
  <c r="C8" i="109"/>
  <c r="C34" i="109"/>
  <c r="C33" i="109" s="1"/>
  <c r="C30" i="109" s="1"/>
  <c r="F37" i="104"/>
  <c r="H33" i="104"/>
  <c r="H26" i="104" s="1"/>
  <c r="H44" i="104" s="1"/>
  <c r="G37" i="104"/>
  <c r="G33" i="104"/>
  <c r="G26" i="104" s="1"/>
  <c r="G44" i="104" s="1"/>
  <c r="H37" i="104"/>
  <c r="F20" i="104"/>
  <c r="G20" i="104"/>
  <c r="D33" i="104"/>
  <c r="H20" i="104"/>
  <c r="E44" i="104"/>
  <c r="E33" i="104"/>
  <c r="E20" i="104"/>
  <c r="F33" i="104"/>
  <c r="D37" i="104"/>
  <c r="F26" i="104" l="1"/>
  <c r="F44" i="104" s="1"/>
  <c r="D26" i="104"/>
  <c r="D44" i="104" s="1"/>
  <c r="E8" i="109"/>
  <c r="E33" i="109"/>
  <c r="E30" i="109" s="1"/>
  <c r="F32" i="109"/>
  <c r="F34" i="109" s="1"/>
  <c r="D37" i="105"/>
  <c r="D34" i="105"/>
  <c r="D30" i="105"/>
  <c r="D26" i="105"/>
  <c r="D19" i="105"/>
  <c r="D15" i="105" s="1"/>
  <c r="D13" i="105"/>
  <c r="D25" i="105" l="1"/>
  <c r="G32" i="109"/>
  <c r="G34" i="109" s="1"/>
  <c r="F33" i="109"/>
  <c r="F30" i="109" s="1"/>
  <c r="D40" i="105"/>
  <c r="H32" i="109" l="1"/>
  <c r="H34" i="109" s="1"/>
  <c r="H33" i="109" s="1"/>
  <c r="H30" i="109" s="1"/>
  <c r="G33" i="109"/>
  <c r="G30" i="109" s="1"/>
  <c r="C27" i="118"/>
  <c r="C30" i="118"/>
  <c r="C108" i="118" l="1"/>
  <c r="C114" i="118" s="1"/>
  <c r="D108" i="118" s="1"/>
  <c r="C107" i="118"/>
  <c r="C113" i="118" s="1"/>
  <c r="G96" i="118"/>
  <c r="F96" i="118"/>
  <c r="E96" i="118"/>
  <c r="D96" i="118"/>
  <c r="C96" i="118"/>
  <c r="G92" i="118"/>
  <c r="G83" i="118" s="1"/>
  <c r="F92" i="118"/>
  <c r="F83" i="118" s="1"/>
  <c r="E92" i="118"/>
  <c r="E83" i="118" s="1"/>
  <c r="D92" i="118"/>
  <c r="C92" i="118"/>
  <c r="G88" i="118"/>
  <c r="F88" i="118"/>
  <c r="E88" i="118"/>
  <c r="D88" i="118"/>
  <c r="D83" i="118" s="1"/>
  <c r="C88" i="118"/>
  <c r="G82" i="118"/>
  <c r="F82" i="118"/>
  <c r="E82" i="118"/>
  <c r="D82" i="118"/>
  <c r="G81" i="118"/>
  <c r="F81" i="118"/>
  <c r="E81" i="118"/>
  <c r="D81" i="118"/>
  <c r="F80" i="118"/>
  <c r="E80" i="118"/>
  <c r="G79" i="118"/>
  <c r="F79" i="118"/>
  <c r="E79" i="118"/>
  <c r="D79" i="118"/>
  <c r="G78" i="118"/>
  <c r="F78" i="118"/>
  <c r="E78" i="118"/>
  <c r="D78" i="118"/>
  <c r="G77" i="118"/>
  <c r="F77" i="118"/>
  <c r="E77" i="118"/>
  <c r="D77" i="118"/>
  <c r="G76" i="118"/>
  <c r="F76" i="118"/>
  <c r="D76" i="118"/>
  <c r="C75" i="118"/>
  <c r="G67" i="118"/>
  <c r="F67" i="118"/>
  <c r="E67" i="118"/>
  <c r="C67" i="118"/>
  <c r="G58" i="118"/>
  <c r="F58" i="118"/>
  <c r="E58" i="118"/>
  <c r="D58" i="118"/>
  <c r="C58" i="118"/>
  <c r="G53" i="118"/>
  <c r="F53" i="118"/>
  <c r="E53" i="118"/>
  <c r="D53" i="118"/>
  <c r="C53" i="118"/>
  <c r="G41" i="118"/>
  <c r="F41" i="118"/>
  <c r="E41" i="118"/>
  <c r="C41" i="118"/>
  <c r="F34" i="118"/>
  <c r="E34" i="118"/>
  <c r="D34" i="118"/>
  <c r="C34" i="118"/>
  <c r="G30" i="118"/>
  <c r="F30" i="118"/>
  <c r="E30" i="118"/>
  <c r="D30" i="118"/>
  <c r="G27" i="118"/>
  <c r="F27" i="118"/>
  <c r="E27" i="118"/>
  <c r="D27" i="118"/>
  <c r="G24" i="118"/>
  <c r="F24" i="118"/>
  <c r="E24" i="118"/>
  <c r="D24" i="118"/>
  <c r="C24" i="118"/>
  <c r="G21" i="118"/>
  <c r="F21" i="118"/>
  <c r="E21" i="118"/>
  <c r="D21" i="118"/>
  <c r="C21" i="118"/>
  <c r="G17" i="118"/>
  <c r="F17" i="118"/>
  <c r="E17" i="118"/>
  <c r="D17" i="118"/>
  <c r="C17" i="118"/>
  <c r="G13" i="118"/>
  <c r="F13" i="118"/>
  <c r="E13" i="118"/>
  <c r="D13" i="118"/>
  <c r="C13" i="118"/>
  <c r="G9" i="118"/>
  <c r="F9" i="118"/>
  <c r="E9" i="118"/>
  <c r="D9" i="118"/>
  <c r="C9" i="118"/>
  <c r="G49" i="118" l="1"/>
  <c r="D33" i="118"/>
  <c r="D8" i="118" s="1"/>
  <c r="G75" i="118"/>
  <c r="G66" i="118" s="1"/>
  <c r="F33" i="118"/>
  <c r="F8" i="118" s="1"/>
  <c r="E49" i="118"/>
  <c r="E75" i="118"/>
  <c r="E66" i="118" s="1"/>
  <c r="F75" i="118"/>
  <c r="F66" i="118" s="1"/>
  <c r="D75" i="118"/>
  <c r="D66" i="118" s="1"/>
  <c r="C106" i="118"/>
  <c r="D107" i="118"/>
  <c r="C66" i="118"/>
  <c r="C49" i="118"/>
  <c r="E33" i="118"/>
  <c r="E8" i="118" s="1"/>
  <c r="D49" i="118"/>
  <c r="C33" i="118"/>
  <c r="C8" i="118" s="1"/>
  <c r="F49" i="118"/>
  <c r="C83" i="118"/>
  <c r="G33" i="118"/>
  <c r="G8" i="118" s="1"/>
  <c r="E6" i="118" l="1"/>
  <c r="F7" i="118"/>
  <c r="F6" i="118" s="1"/>
  <c r="F109" i="118" s="1"/>
  <c r="F111" i="118" s="1"/>
  <c r="D113" i="118"/>
  <c r="G7" i="118"/>
  <c r="G6" i="118" s="1"/>
  <c r="G109" i="118" s="1"/>
  <c r="D7" i="118"/>
  <c r="D109" i="118" s="1"/>
  <c r="C7" i="118"/>
  <c r="G104" i="118" l="1"/>
  <c r="G111" i="118"/>
  <c r="D6" i="118"/>
  <c r="F107" i="118"/>
  <c r="F113" i="118" s="1"/>
  <c r="C109" i="118"/>
  <c r="C104" i="118" s="1"/>
  <c r="C6" i="118"/>
  <c r="F104" i="118"/>
  <c r="G107" i="118" l="1"/>
  <c r="G113" i="118" s="1"/>
  <c r="D111" i="118"/>
  <c r="D114" i="118" s="1"/>
  <c r="D104" i="118"/>
  <c r="C112" i="118"/>
  <c r="D106" i="118" s="1"/>
  <c r="D112" i="118" s="1"/>
  <c r="F108" i="118" l="1"/>
  <c r="F106" i="118" l="1"/>
  <c r="F112" i="118" s="1"/>
  <c r="F114" i="118"/>
  <c r="G108" i="118" s="1"/>
  <c r="G114" i="118" s="1"/>
  <c r="G106" i="118" l="1"/>
  <c r="G112" i="118" s="1"/>
  <c r="H275" i="2" l="1"/>
  <c r="L68" i="2" l="1"/>
  <c r="L38" i="2" l="1"/>
  <c r="L36" i="2" s="1"/>
  <c r="K38" i="2"/>
  <c r="K36" i="2" s="1"/>
  <c r="J38" i="2"/>
  <c r="M17" i="2"/>
  <c r="M16" i="2" s="1"/>
  <c r="N17" i="2"/>
  <c r="N16" i="2" s="1"/>
  <c r="O17" i="2"/>
  <c r="O16" i="2" s="1"/>
  <c r="J31" i="2"/>
  <c r="K102" i="2" l="1"/>
  <c r="N102" i="2" s="1"/>
  <c r="L102" i="2"/>
  <c r="O102" i="2" s="1"/>
  <c r="J102" i="2"/>
  <c r="M102" i="2" s="1"/>
  <c r="L97" i="2"/>
  <c r="O97" i="2" s="1"/>
  <c r="K97" i="2"/>
  <c r="N97" i="2" s="1"/>
  <c r="J97" i="2"/>
  <c r="M97" i="2" s="1"/>
  <c r="L91" i="2"/>
  <c r="O91" i="2" s="1"/>
  <c r="K91" i="2"/>
  <c r="N91" i="2" s="1"/>
  <c r="J91" i="2"/>
  <c r="M91" i="2" s="1"/>
  <c r="L80" i="2"/>
  <c r="O80" i="2" s="1"/>
  <c r="K80" i="2"/>
  <c r="N80" i="2" s="1"/>
  <c r="J80" i="2"/>
  <c r="M80" i="2" s="1"/>
  <c r="L75" i="2"/>
  <c r="O75" i="2" s="1"/>
  <c r="K75" i="2"/>
  <c r="N75" i="2" s="1"/>
  <c r="J75" i="2"/>
  <c r="M75" i="2" s="1"/>
  <c r="K68" i="2"/>
  <c r="K66" i="2" s="1"/>
  <c r="N66" i="2" s="1"/>
  <c r="O68" i="2"/>
  <c r="J68" i="2"/>
  <c r="M68" i="2" s="1"/>
  <c r="J56" i="2"/>
  <c r="M56" i="2" s="1"/>
  <c r="L56" i="2"/>
  <c r="O56" i="2" s="1"/>
  <c r="K56" i="2"/>
  <c r="N56" i="2" s="1"/>
  <c r="K50" i="2"/>
  <c r="N50" i="2" s="1"/>
  <c r="L50" i="2"/>
  <c r="O50" i="2" s="1"/>
  <c r="J50" i="2"/>
  <c r="M50" i="2" s="1"/>
  <c r="N38" i="2"/>
  <c r="O36" i="2"/>
  <c r="M38" i="2"/>
  <c r="K31" i="2"/>
  <c r="N31" i="2" s="1"/>
  <c r="L31" i="2"/>
  <c r="O31" i="2" s="1"/>
  <c r="M31" i="2"/>
  <c r="K17" i="2"/>
  <c r="K16" i="2" s="1"/>
  <c r="L17" i="2"/>
  <c r="J17" i="2"/>
  <c r="J16" i="2" s="1"/>
  <c r="J55" i="2" l="1"/>
  <c r="M55" i="2" s="1"/>
  <c r="L16" i="2"/>
  <c r="J36" i="2"/>
  <c r="M36" i="2" s="1"/>
  <c r="N36" i="2"/>
  <c r="O38" i="2"/>
  <c r="L55" i="2"/>
  <c r="O55" i="2" s="1"/>
  <c r="J66" i="2"/>
  <c r="M66" i="2" s="1"/>
  <c r="K55" i="2"/>
  <c r="N55" i="2" s="1"/>
  <c r="L66" i="2"/>
  <c r="O66" i="2" s="1"/>
  <c r="N68" i="2"/>
</calcChain>
</file>

<file path=xl/sharedStrings.xml><?xml version="1.0" encoding="utf-8"?>
<sst xmlns="http://schemas.openxmlformats.org/spreadsheetml/2006/main" count="1158" uniqueCount="649">
  <si>
    <t>4 lapas</t>
  </si>
  <si>
    <t>Matav. vnt.</t>
  </si>
  <si>
    <t>vnt.</t>
  </si>
  <si>
    <t>laukiama</t>
  </si>
  <si>
    <t>Eur</t>
  </si>
  <si>
    <t xml:space="preserve">        2 lentelė</t>
  </si>
  <si>
    <t>1 lapas</t>
  </si>
  <si>
    <t>%</t>
  </si>
  <si>
    <t xml:space="preserve">          Senatvės pensijų gavėjai</t>
  </si>
  <si>
    <t>žm.</t>
  </si>
  <si>
    <t xml:space="preserve">          Vidutinis 1 mėn.  išmokų skaičius</t>
  </si>
  <si>
    <t xml:space="preserve">          Vidutinė netekto darbingumo (invalidumo) pensija </t>
  </si>
  <si>
    <t xml:space="preserve">            Invalidumo pensijų gavėjai </t>
  </si>
  <si>
    <t xml:space="preserve">            Vidutinis 1 mėn.  išmokų skaičius</t>
  </si>
  <si>
    <t xml:space="preserve">            Vidutinė invalidumo pensija </t>
  </si>
  <si>
    <t xml:space="preserve">             Vidutinis 1 mėn.  išmokų skaičius</t>
  </si>
  <si>
    <t xml:space="preserve">           Našlių ir našlaičių (maitintojo netekimo)</t>
  </si>
  <si>
    <t xml:space="preserve">           pensijų gavėjai</t>
  </si>
  <si>
    <t xml:space="preserve">            Maitintojo netekimo pensijų gavėjai</t>
  </si>
  <si>
    <t xml:space="preserve">            Vidutinė pensija</t>
  </si>
  <si>
    <t xml:space="preserve">            Našlaičių pensijų gavėjai</t>
  </si>
  <si>
    <t xml:space="preserve">            Našlių pensijų gavėjai</t>
  </si>
  <si>
    <t xml:space="preserve">            Vidutinė našlių pensija</t>
  </si>
  <si>
    <t xml:space="preserve">           Kompensacijų už ypatingas darbo </t>
  </si>
  <si>
    <t xml:space="preserve">           sąlygas gavėjų skaičius </t>
  </si>
  <si>
    <t xml:space="preserve">           Vidutinis 1 mėn.  išmokų skaičius</t>
  </si>
  <si>
    <t xml:space="preserve">           Vidutinė išmoka</t>
  </si>
  <si>
    <t>2 lapas</t>
  </si>
  <si>
    <t xml:space="preserve">             Apmokėtų ligos dienų skaičius 1 darbuotojui</t>
  </si>
  <si>
    <t>d.d.</t>
  </si>
  <si>
    <t xml:space="preserve">             Apmokėtų ligos dienų skaičius iš viso</t>
  </si>
  <si>
    <t xml:space="preserve">              Gavėjų skaičius</t>
  </si>
  <si>
    <t>3 lapas</t>
  </si>
  <si>
    <t xml:space="preserve">          Atvejų skaičius</t>
  </si>
  <si>
    <t xml:space="preserve">          Vidutinė atvejo trukmė</t>
  </si>
  <si>
    <t>d.</t>
  </si>
  <si>
    <t xml:space="preserve">           apdraustųjų pajamomis nuo kurių skaič. VSD įmokos</t>
  </si>
  <si>
    <t xml:space="preserve">           Atvejų skaičius</t>
  </si>
  <si>
    <t xml:space="preserve">           Vidutinė atvejo trukmė</t>
  </si>
  <si>
    <t xml:space="preserve">          Vidutinė išmoka</t>
  </si>
  <si>
    <t xml:space="preserve">          Gavėjų skaičius  (apdraustųjų skaičius)</t>
  </si>
  <si>
    <t xml:space="preserve">          Išmokų skaičius</t>
  </si>
  <si>
    <t xml:space="preserve">          Vidutinis mėnesinis kompensacijos dydis</t>
  </si>
  <si>
    <t xml:space="preserve">          Gavėjų skaičius (mirusių skaičius)</t>
  </si>
  <si>
    <t xml:space="preserve">          Vidutinis kompensacijos dydis</t>
  </si>
  <si>
    <t xml:space="preserve">          Gavėjų skaičius (išlaikytinių skaičius)</t>
  </si>
  <si>
    <t xml:space="preserve">           Išmokų skaičius</t>
  </si>
  <si>
    <t>4 lentelė</t>
  </si>
  <si>
    <t xml:space="preserve"> </t>
  </si>
  <si>
    <t>Kur,</t>
  </si>
  <si>
    <t>5 lapas</t>
  </si>
  <si>
    <t>1 lentelė</t>
  </si>
  <si>
    <t>PAPILDOMOS LENTELĖS</t>
  </si>
  <si>
    <t>Matav.</t>
  </si>
  <si>
    <t>ataskaita</t>
  </si>
  <si>
    <t>projektas</t>
  </si>
  <si>
    <t>prognozė</t>
  </si>
  <si>
    <t>Finansų ministerijos prognozuojami rodikliai:</t>
  </si>
  <si>
    <t>VSDFV prognozuojami rodikliai:</t>
  </si>
  <si>
    <t>Moksleivių ir studentų, atliekančių profesinę praktiką įstaigoje skaičius</t>
  </si>
  <si>
    <t>VSD įmokas mokančių individualių  įmonių  savininkų, TŪB KŪB, MB narių, šeimynos dalyvių skaičius</t>
  </si>
  <si>
    <t>Kitų, užsiimančių individ. veikla asmenų, skaičius</t>
  </si>
  <si>
    <t>VSD įmokas mokančių ūkininkų skaičius</t>
  </si>
  <si>
    <t>Asmenų, slaugančių namuose neįgalius asmenis, skaičius</t>
  </si>
  <si>
    <t xml:space="preserve">Nelaimingų atsitikimų darbe ir profesinių ligų socialinio </t>
  </si>
  <si>
    <t>draudimo įmokos tarifo diferencijavimas</t>
  </si>
  <si>
    <t>Tarifo dydis (%)</t>
  </si>
  <si>
    <t xml:space="preserve">Pirmoji grupė </t>
  </si>
  <si>
    <t>Antroji grupė</t>
  </si>
  <si>
    <t>Trečioji grupė</t>
  </si>
  <si>
    <t>Ketvirtoji grupė</t>
  </si>
  <si>
    <t xml:space="preserve"> Bendrasis šalies nelaimingų atsitikimų darbe ir profesinių ligų socialinio draudimo įmokos tarifas</t>
  </si>
  <si>
    <t>1. Įprastinė veikla</t>
  </si>
  <si>
    <t xml:space="preserve">   1.1.2.1. Pensijų socialiniam draudimui</t>
  </si>
  <si>
    <t xml:space="preserve">   1.2.1.2. Sveikatos draudimo lėšos</t>
  </si>
  <si>
    <t xml:space="preserve">   1.2.1.3. Pensijų kaupimo dalyvių mokamos papildomos kaupiamosios pensijų įmokos</t>
  </si>
  <si>
    <t xml:space="preserve">   1.2.2.2. Lėšos, pervedamos į Privalomojo sveikatos draudimo fondą</t>
  </si>
  <si>
    <t>2. Investicinė veikla</t>
  </si>
  <si>
    <t xml:space="preserve">   2.3. Išlaidos ilgalaikiam materialiajam turtui įsigyti</t>
  </si>
  <si>
    <t xml:space="preserve">   2.4. Įplaukos, gautos pardavus ilgalaikį materialiųjį  turtą </t>
  </si>
  <si>
    <t xml:space="preserve">   2.6. Įplaukos, gautos pardavus akcijas, obligacijas, kitus vertybinius popierius </t>
  </si>
  <si>
    <t xml:space="preserve">3. Finansinė veikla </t>
  </si>
  <si>
    <t xml:space="preserve">   3.2. Grąžintos trumpalaikės paskolos</t>
  </si>
  <si>
    <t xml:space="preserve">   3.3. Gautos ilgalaikės paskolos</t>
  </si>
  <si>
    <t xml:space="preserve">   3.4. Grąžintos ilgalaikės paskolos</t>
  </si>
  <si>
    <t xml:space="preserve">   5.2. Pokytis</t>
  </si>
  <si>
    <t xml:space="preserve">   5.3. Metų pabaigoje</t>
  </si>
  <si>
    <t>6. Kasos apyvartos lėšos</t>
  </si>
  <si>
    <t>Savanorišką praktiką atliekančių skaičius</t>
  </si>
  <si>
    <t xml:space="preserve">   1.1.2.4. Nedarbo socialiniam draudimui</t>
  </si>
  <si>
    <t xml:space="preserve">   1.1.2.4.1. Nedarbo draudimo išmokoms</t>
  </si>
  <si>
    <t xml:space="preserve">   1.1.2.4.2. Dalinio darbo išmokoms</t>
  </si>
  <si>
    <t xml:space="preserve">   1.1.2.5. Nelaimingų atsitikimų darbe ir profesinių ligų socialiniam draudimui</t>
  </si>
  <si>
    <t xml:space="preserve">   5.1. Metų pradžioje</t>
  </si>
  <si>
    <t xml:space="preserve">              Motinystės išmokos vidutinė trukmė</t>
  </si>
  <si>
    <t xml:space="preserve">              Motinystės išmokos apmokėtų dienų skaičius</t>
  </si>
  <si>
    <t>2.4.2. Dalinio darbo išmokoms</t>
  </si>
  <si>
    <t xml:space="preserve">             Vidutinė 1 dienos ligos išmoka </t>
  </si>
  <si>
    <t xml:space="preserve">Vidutinis metinis dirbančiųjų, draudžiamų  visomis socialinio draudimo rūšimis skaičius </t>
  </si>
  <si>
    <t xml:space="preserve">              Vidutinė motinystės 1 d. išmoka</t>
  </si>
  <si>
    <t xml:space="preserve">          Vienos ligos dienos išmokos santykis su vid. mėn.</t>
  </si>
  <si>
    <t xml:space="preserve">          Vidutinė 1d. išmoka</t>
  </si>
  <si>
    <t xml:space="preserve">           Vidutinė 1d. išmoka</t>
  </si>
  <si>
    <t xml:space="preserve">              Vidutinė 1 atvejo trukmė</t>
  </si>
  <si>
    <t xml:space="preserve">              Vidutinė 1 dienos išmoka</t>
  </si>
  <si>
    <t xml:space="preserve">              Vidutinis gavėjų skaičius</t>
  </si>
  <si>
    <t xml:space="preserve">              Vidutinė išmoka</t>
  </si>
  <si>
    <t xml:space="preserve">              Vidutinė mėnesio išmoka</t>
  </si>
  <si>
    <t>Motinų, auginančių vaikus iki 3 m. skaičius</t>
  </si>
  <si>
    <t>Šalies vid. darbo užmokestis</t>
  </si>
  <si>
    <t>Meno kūrėjų statusą turinčių ,kuriuos remia valstybė, sk.</t>
  </si>
  <si>
    <t xml:space="preserve">Dvasininkų ir tik vienuolyne dirbančių vienuolių skaičius  </t>
  </si>
  <si>
    <t>Kitų asmenų, valstybės draudžiamų visai pensijai ir draudimu nuo nedarbo, skaičius</t>
  </si>
  <si>
    <t xml:space="preserve">          Vidutinė senatvės pensija </t>
  </si>
  <si>
    <t xml:space="preserve">          Vidutinė senatvės pensija, turint būtinąjį stažą</t>
  </si>
  <si>
    <t xml:space="preserve">           Ištarnauto laiko pensijų gavėjai</t>
  </si>
  <si>
    <t xml:space="preserve">           Vidutinė pensija</t>
  </si>
  <si>
    <t xml:space="preserve">           Išankstinių pensijų gavėjai</t>
  </si>
  <si>
    <t xml:space="preserve">           Vidutinė pensija </t>
  </si>
  <si>
    <t>tūkst.žm.</t>
  </si>
  <si>
    <t>tūkst.Eur</t>
  </si>
  <si>
    <t>tūkst. Eur</t>
  </si>
  <si>
    <t>-</t>
  </si>
  <si>
    <t xml:space="preserve">4 lentelė </t>
  </si>
  <si>
    <t xml:space="preserve">  Pateiktame įstatymo projekte siūloma išskirti keturias tarifų grupes pagal Lietuvos Respublikos socialinės apsaugos ir darbo ministro 2017 m. liepos 7 d. įsakymu Nr. A1-387 patvirtintą "Draudėjų priskyrimo nelaimingų atsitikimų darbe ir profesinių ligų socialinio draudimo įmokos tarifų grupėms metodiką".  Šie nelaimingų atsitikimų darbe ir profesinių ligų socialinio draudimo  grupių įmokų tarifai  apskaičiuoti,  įvertinant  kiekvieno draudėjo traumatizmo ir profesinio sergamumo rodiklius per praėjusius tris metus, vidutinį metinį apdraustųjų skaičių,  metinį darbo užmokesčio fondą.  </t>
  </si>
  <si>
    <t xml:space="preserve">Vidutinis mėnesinis bruto darbo užmokestis, šalies ūkyje, įskaitant individualias įmones: </t>
  </si>
  <si>
    <t xml:space="preserve">          Senatvės pensijoms </t>
  </si>
  <si>
    <t xml:space="preserve">            Maitintojo netekimo pensijoms </t>
  </si>
  <si>
    <t xml:space="preserve">             Ligos išmokoms</t>
  </si>
  <si>
    <t xml:space="preserve">              Motinystės išmokoms</t>
  </si>
  <si>
    <t xml:space="preserve">   1.2.1.5. Garantinio fondo lėšos</t>
  </si>
  <si>
    <t xml:space="preserve">   1.2.1.6. Ilgalaikio darbo išmokų fondo lėšos</t>
  </si>
  <si>
    <t xml:space="preserve">   1.2.2.5. Garantinio fondo lėšos</t>
  </si>
  <si>
    <t xml:space="preserve">   3.5. Įsipareigojimų pagal finansinės nuomos (lizingo) sutartis padengimas</t>
  </si>
  <si>
    <t xml:space="preserve">   5.1.1. Rezervinio fondo lėšos</t>
  </si>
  <si>
    <t xml:space="preserve">   5.1.2. Kitos lėšos</t>
  </si>
  <si>
    <t xml:space="preserve">   5.2.1. Rezervinio fondo lėšų</t>
  </si>
  <si>
    <t xml:space="preserve">   5.2.2. Kitų lėšų</t>
  </si>
  <si>
    <t xml:space="preserve">   5.3.2. Kitos lėšos</t>
  </si>
  <si>
    <t xml:space="preserve">   5.3.1. Rezervinio fondo lėšos</t>
  </si>
  <si>
    <t xml:space="preserve">   2.5. Išlaidos akcijoms, obligacijoms, kitiems vertybiniams popieriams įsigyti</t>
  </si>
  <si>
    <t>4. Grynųjų pinigų ir jų ekvivalentų pokytis</t>
  </si>
  <si>
    <t>1.2. Kita Fondui pavesta veikla</t>
  </si>
  <si>
    <t>Metinė draudžiamųjų pajamų bazė ( perskaičiuota)</t>
  </si>
  <si>
    <t>VSD įmokas mokančių asmenų, turinčių verslo liudijimus  vid. metinis skaičius</t>
  </si>
  <si>
    <t xml:space="preserve">   1.2.2.3. Pervedamos pensijų kaupimo dalyvių mokamos kaupiamosios pensijų įmokos</t>
  </si>
  <si>
    <t xml:space="preserve">           (su atidėjinių pokyčiu)</t>
  </si>
  <si>
    <t xml:space="preserve">           atidėjiniai</t>
  </si>
  <si>
    <t xml:space="preserve">           atidėjinių pokytis</t>
  </si>
  <si>
    <t xml:space="preserve">           Vienkartinių draudimo išmokų apdraustajam</t>
  </si>
  <si>
    <t xml:space="preserve">           mirus atidėjiniai</t>
  </si>
  <si>
    <t xml:space="preserve">           mirus atidėjinių pokytis</t>
  </si>
  <si>
    <t xml:space="preserve">          Profesinėms ligoms</t>
  </si>
  <si>
    <t xml:space="preserve">          Traumoms darbe ir kelyje</t>
  </si>
  <si>
    <t xml:space="preserve">          Ligos dėl nelaimingo atsitikimo darbe, pakeliui</t>
  </si>
  <si>
    <t xml:space="preserve">           į darbą ar iš darbo arba profesinės ligos pašalpų</t>
  </si>
  <si>
    <t xml:space="preserve">   Likusiems draudėjams įmokos tarifas bus 0,14 proc., jie bus priskirti pirmajai įmokos tarifo grupei.</t>
  </si>
  <si>
    <t xml:space="preserve">   Bendrasis šalies įmokos tarifo dydis šiai socialinio draudimo rūšiai bus 0,16 proc.</t>
  </si>
  <si>
    <t xml:space="preserve">             Ligos išmokų atidėjiniai</t>
  </si>
  <si>
    <t xml:space="preserve">             Ligos išmokų atidėjinių pokytis</t>
  </si>
  <si>
    <t xml:space="preserve">              Motinystės išmokų atidėjiniai</t>
  </si>
  <si>
    <t xml:space="preserve">              Motinystės išmokų atidėjinių pokytis</t>
  </si>
  <si>
    <t xml:space="preserve">2.3.1.2.1. Vaiko priežiūros išmokoms iki vaikui </t>
  </si>
  <si>
    <t xml:space="preserve">              Vaiko priežiūros išmokų atidėjiniai</t>
  </si>
  <si>
    <t xml:space="preserve">              Vaiko priežiūros išmokų atidėjinių pokytis</t>
  </si>
  <si>
    <t xml:space="preserve">              Tėvystės išmokų atidėjiniai</t>
  </si>
  <si>
    <t xml:space="preserve">              Tėvystės išmokų atidėjinių pokytis</t>
  </si>
  <si>
    <t xml:space="preserve">   1.2.2.6. Ilgalaikio darbo išmokų fondo lėšos</t>
  </si>
  <si>
    <t>Valstybinio socialinio draudimo išlaidų vidutiniai metiniai rodikliai:</t>
  </si>
  <si>
    <r>
      <t xml:space="preserve">            Našlaičių pensijoms</t>
    </r>
    <r>
      <rPr>
        <b/>
        <sz val="8"/>
        <rFont val="Times New Roman"/>
        <family val="1"/>
        <charset val="186"/>
      </rPr>
      <t/>
    </r>
  </si>
  <si>
    <t xml:space="preserve">             Našlaičių pensijų atidėjiniai</t>
  </si>
  <si>
    <t xml:space="preserve">             Našlaičių pensijų atidėjinių pokytis </t>
  </si>
  <si>
    <t xml:space="preserve">            Našlių pensijoms </t>
  </si>
  <si>
    <t xml:space="preserve">             Našlių pensijų atidėjiniai</t>
  </si>
  <si>
    <t xml:space="preserve">             Našlių pensijų atidėjinių pokytis </t>
  </si>
  <si>
    <t>6 lentelė</t>
  </si>
  <si>
    <t xml:space="preserve">Asignavimų iš Lietuvos Respublikos valstybės biudžeto socialinio draudimo pagrindinei (bendrajai) pensijos daliai kompensuoti sumos </t>
  </si>
  <si>
    <t>Iš viso</t>
  </si>
  <si>
    <t>Priskaičiuota socialinio draudimo pensijų suma (tūkst. eur)</t>
  </si>
  <si>
    <t>mln.Eur</t>
  </si>
  <si>
    <t>mln. Eur</t>
  </si>
  <si>
    <t>Metinis darbo užmokesčio fondas</t>
  </si>
  <si>
    <t xml:space="preserve">           Išmokų laidojusiems asmenims skaičius</t>
  </si>
  <si>
    <t xml:space="preserve">- individualioji pensijų dalis </t>
  </si>
  <si>
    <t>7 lentelė</t>
  </si>
  <si>
    <t>Vadovaujantis Lietuvos Respublikos Valstybinių socialinio draudimo pensijų įstatymo Nr. I -549 pakeitimo įstatymo 8 straipsnio ir Socialinio draudimo pensijų skyrimo ir mokėjimo nuostatų 30 punkto nuostatomis Valstybinio socialinio draudimo fondo valdyba prie Socialinės apsaugos ir darbo ministerijos pateikia šiuos skaičiavimus.</t>
  </si>
  <si>
    <t>Remiantis: 1) Lietuvos statistikos departamento skelbiamais duomenimis - metinės bruto darbo apmokėjimo lėšos (šalies ūkis su individualiosiomis įmonėmis):</t>
  </si>
  <si>
    <t>2) Finansų ministerijos Ekonominės raidos scenarijuje skelbiamais metinio darbo užmokesčio fondo prognozės duomenimis:</t>
  </si>
  <si>
    <t>apskaičiuojami darbo užmokesčio fondų metiniai pokyčiai:</t>
  </si>
  <si>
    <t xml:space="preserve">7 metų darbo užmokesčio fondo pokyčių vidurkis: </t>
  </si>
  <si>
    <t xml:space="preserve">   2.1. Išlaidos nematerialiajam turtui įsigyti</t>
  </si>
  <si>
    <t xml:space="preserve">   2.2. Įplaukos, gautos pardavus nematerialųjį turtą </t>
  </si>
  <si>
    <t>Nedarbo draudimo išmokoms</t>
  </si>
  <si>
    <t>Nedarbo draudimo išmokų atidėjiniai</t>
  </si>
  <si>
    <t>Nedarbo draudimo išmokų atidėjinių pokytis</t>
  </si>
  <si>
    <t>Vidutinis gavėjų skaičius</t>
  </si>
  <si>
    <t>Vidutinė išmoka</t>
  </si>
  <si>
    <t>Valstybinio socialinio draudimo bazinė pensija</t>
  </si>
  <si>
    <t>Mokamų pensijų skaičius</t>
  </si>
  <si>
    <t>dydžio, socialinio draudimo našlių pensijos bazinio dydžio, pensijų apskaitos</t>
  </si>
  <si>
    <t xml:space="preserve"> vieneto dydžio skaičiavimai</t>
  </si>
  <si>
    <t xml:space="preserve">Nuo 2019 m. sausio 1 d. bendroji socialinio draudimo pensijų dalis yra finansuojama iš Lietuvos Respublikos valstybės biudžeto lėšų. </t>
  </si>
  <si>
    <t xml:space="preserve">2024 m. </t>
  </si>
  <si>
    <t xml:space="preserve">2025 m. </t>
  </si>
  <si>
    <t xml:space="preserve">   Draudėjams, pas kuriuos per pastaruosius tris kalendorinius metus įvyko daugiausiai mirtinų ir sunkių nelaimingų atsitikimų darbe,  pripažintų draudžiamaisiais įvykiais,  nelaimingų atsitikimų darbe ir profesinių ligų socialinio draudimo įmokos tarifas bus  0,7 proc. Jie bus priskirti  trečiajai įmokos tarifo grupei.                                   </t>
  </si>
  <si>
    <t xml:space="preserve">        sąnaudos</t>
  </si>
  <si>
    <t>S Ą N A U D Ų  skaičiavimai</t>
  </si>
  <si>
    <t>2.3.1.2.2. Vaiko priežiūros išmokoms iki vaikui</t>
  </si>
  <si>
    <t xml:space="preserve">              sukaks 24 mėn., nuo 2023-01-01</t>
  </si>
  <si>
    <t xml:space="preserve">2026 m. </t>
  </si>
  <si>
    <t>Kariūnai ir kursantai jų mokslo metu nelaimingų atsitikimų darbe draudimu VB lėšomis</t>
  </si>
  <si>
    <t>1.1.3. Savarankiškai dirbančių   socialinio draudimo įmokos</t>
  </si>
  <si>
    <t>1.5.1. Draudėjų   socialinio draudimo įmokos</t>
  </si>
  <si>
    <t xml:space="preserve">  1.7. Delspinigiai, palūkanos ir baudos</t>
  </si>
  <si>
    <t xml:space="preserve"> 1.7.1. Delspinigiai ir baudos</t>
  </si>
  <si>
    <t xml:space="preserve"> 1.7.2.Palūkanos</t>
  </si>
  <si>
    <t xml:space="preserve">   1.8. Iš valstybės biudžeto ir ( ar) kitų valstybės piniginių išteklių gautos lėšos</t>
  </si>
  <si>
    <t>1.8.1. Lėšos iš valstybės biudžeto socialinio draudimo pagrindinei (bendrajai) pensijos daliai kompensuoti</t>
  </si>
  <si>
    <t xml:space="preserve"> 1.9.1. Fondo veiklos sąnaudų kompensavimas už surinktas ir pervestas įmokas, už išmokų skyrimą ir mokėjimą</t>
  </si>
  <si>
    <t>1.9.2. Kitos veiklos pajamos</t>
  </si>
  <si>
    <t>PAJAMOS IŠ VISO:</t>
  </si>
  <si>
    <t>proc.</t>
  </si>
  <si>
    <t>Darbo užmokesčio fondo pokytis</t>
  </si>
  <si>
    <t>Darbo užmokesčio fondas</t>
  </si>
  <si>
    <t>Biudžetinio sektoriaus dalis</t>
  </si>
  <si>
    <t>Darbo užmokesčio fondas be biudžetinio sektoriaus</t>
  </si>
  <si>
    <t>1. Pajamos</t>
  </si>
  <si>
    <t>1.1. Darbdavių socialinės įmokos</t>
  </si>
  <si>
    <t>1.3. Iš valstybės biudžeto, kitų valstybės piniginių išteklių ir (ar) Europos Sąjungos struktūrinių ir kitų fondų pervedamos lėšos</t>
  </si>
  <si>
    <t>1.4. Delspinigiai, palūkanos ir baudos</t>
  </si>
  <si>
    <t>1.4.1. Palūkanos</t>
  </si>
  <si>
    <t>1.4.2. Delspinigiai, baudos</t>
  </si>
  <si>
    <t>1.5. Pajamos už investuotas laikinai laisvas lėšas</t>
  </si>
  <si>
    <t>1.6. Kitos teisėtai gautinos lėšos</t>
  </si>
  <si>
    <t>2. Sąnaudos</t>
  </si>
  <si>
    <t>Gavėjų skaičius</t>
  </si>
  <si>
    <t>Atidėjinių suma</t>
  </si>
  <si>
    <t>Atidėjinių pokytis</t>
  </si>
  <si>
    <t>2.2. Administravimo sąnaudos</t>
  </si>
  <si>
    <t>2.3. Laikinai laisvų lėšų investavimo sąnaudos</t>
  </si>
  <si>
    <t>2.4. Kitos sąnaudos</t>
  </si>
  <si>
    <t>3. Einamųjų metų rezultatas</t>
  </si>
  <si>
    <t>5 lentelė</t>
  </si>
  <si>
    <t>8 lentelė</t>
  </si>
  <si>
    <t>2.1 Socialinės išmokos</t>
  </si>
  <si>
    <t>2.2. Mokesčiai į Valstybinio socialinio draudimo fondą</t>
  </si>
  <si>
    <t>2.3. Administravimo sąnaudos</t>
  </si>
  <si>
    <t>2.4. Laikinai laisvų lėšų investavimo sąnaudos</t>
  </si>
  <si>
    <t>2.5. Kitos sąnaudos</t>
  </si>
  <si>
    <t xml:space="preserve">     Įmokų administravimo sąnaudos</t>
  </si>
  <si>
    <t xml:space="preserve">     Išmokų administravimo sąnaudos</t>
  </si>
  <si>
    <t>2.2.1. Įmokų administravimo sąnaudos</t>
  </si>
  <si>
    <t>2.2.2. Išmokų administravimo sąnaudos</t>
  </si>
  <si>
    <t>3 lentelė 1 lapas</t>
  </si>
  <si>
    <t xml:space="preserve"> 1.1.1.7. Delspinigiai, palūkanos ir baudos  </t>
  </si>
  <si>
    <t>1.1.1.8.1. Lėšos iš valstybės biudžeto socialinio draudimo pagrindinei (bendrajai) pensijos daliai kompensuoti</t>
  </si>
  <si>
    <t xml:space="preserve"> 1.1.1.9.1. Fondo veiklos sąnaudų kompensavimas už surinktas ir pervestas įmokas, už išmokų skyrimą ir mokėjimą</t>
  </si>
  <si>
    <t xml:space="preserve">1.1.1.9.1.2. Privalomojo sveikatos draudimo fondas </t>
  </si>
  <si>
    <t>1.1.1.9.1.3. Garantinis fondas</t>
  </si>
  <si>
    <t>1.1.1.9.1.6. Kitos kompensavimo sumos</t>
  </si>
  <si>
    <t>1.1.1.9.2. Kitos veiklos pajamos</t>
  </si>
  <si>
    <t>1.1.1.9.2.1. Rezervinio fondo gautos palūkanos už likučius bankų sąskaitose, dividendai</t>
  </si>
  <si>
    <t xml:space="preserve">   1.1.2.6. Fondo administravimo įstaigų finansavimas</t>
  </si>
  <si>
    <t xml:space="preserve">   1.1.2.7. Kitos Fondo veiklos sąnaudos</t>
  </si>
  <si>
    <t xml:space="preserve">   1.1.2.7.1. Rezervinio fondo lėšų investavimo, saugojimo ir kitos patiriamos sąnaudos</t>
  </si>
  <si>
    <t>3  lentelė 2 lapas</t>
  </si>
  <si>
    <t xml:space="preserve">   2.5.1. Rezervinio fondo vertybiniai popieriai</t>
  </si>
  <si>
    <t xml:space="preserve">   2.5.2. Rezervinio fondo terminuoti indėliai</t>
  </si>
  <si>
    <t xml:space="preserve">   2.6.1. Rezervinio fondo vertybiniai popieriai</t>
  </si>
  <si>
    <t xml:space="preserve">   2.6.2. Rezervinio fondo terminuoti indėliai</t>
  </si>
  <si>
    <t>1.2. Savanoriškos socialinės įmokos</t>
  </si>
  <si>
    <t>Ilgalaikio darbo išmokos</t>
  </si>
  <si>
    <t>1.1. Įprastinė Valstybinio socialinio draudimo fondo (toliau - Fondas) veikla</t>
  </si>
  <si>
    <t xml:space="preserve">  1.1.2. Išlaidos</t>
  </si>
  <si>
    <t xml:space="preserve">   1.1.2.7.2. Kitos (ne Rezervinio fondo) veiklos sąnaudos </t>
  </si>
  <si>
    <t xml:space="preserve">   1.2.1. Įplaukos</t>
  </si>
  <si>
    <t xml:space="preserve">   1.2.1.1. Valstybės biudžeto lėšos, skirtos išmokoms finansuoti</t>
  </si>
  <si>
    <t xml:space="preserve">   1.2.1.4. Iš valstybės biudžeto lėšų už pensijų kaupimo dalyvį mokamos papildomos kaupiamosios pensijų įmokos</t>
  </si>
  <si>
    <t xml:space="preserve">   1.2.2. Išlaidos</t>
  </si>
  <si>
    <t xml:space="preserve">   1.2.2.4. Pervedamos iš valstybės biudžeto lėšų už pensijų kaupimo dalyvį mokamos kaupiamosios pensijų įmokos</t>
  </si>
  <si>
    <t xml:space="preserve">   3.1. Gautos trumpalaikės paskolos  </t>
  </si>
  <si>
    <t xml:space="preserve">   3.6. Valiutų kursų pasikeitimo poveikis</t>
  </si>
  <si>
    <t>5. Grynųjų pinigų ir jų ekvivalentų cirkuliacija</t>
  </si>
  <si>
    <r>
      <t xml:space="preserve">2.5. </t>
    </r>
    <r>
      <rPr>
        <b/>
        <u/>
        <sz val="11"/>
        <rFont val="Times New Roman"/>
        <family val="1"/>
        <charset val="186"/>
      </rPr>
      <t xml:space="preserve">Nelaimingų atsitikimų darbe ir profesinių </t>
    </r>
  </si>
  <si>
    <r>
      <t xml:space="preserve">       </t>
    </r>
    <r>
      <rPr>
        <b/>
        <u/>
        <sz val="11"/>
        <rFont val="Times New Roman"/>
        <family val="1"/>
        <charset val="186"/>
      </rPr>
      <t>ligų socialiniam draudimui</t>
    </r>
  </si>
  <si>
    <r>
      <t xml:space="preserve">2.5.1. </t>
    </r>
    <r>
      <rPr>
        <b/>
        <u/>
        <sz val="10"/>
        <rFont val="Times New Roman"/>
        <family val="1"/>
        <charset val="186"/>
      </rPr>
      <t>Ligos dėl nelaimingo atsitikimo darbe, pakeliui</t>
    </r>
  </si>
  <si>
    <r>
      <t xml:space="preserve">           </t>
    </r>
    <r>
      <rPr>
        <b/>
        <u/>
        <sz val="10"/>
        <rFont val="Times New Roman"/>
        <family val="1"/>
        <charset val="186"/>
      </rPr>
      <t>į darbą ar iš darbo arba profesinės ligos pašalpoms</t>
    </r>
  </si>
  <si>
    <r>
      <t xml:space="preserve">2.5.4. </t>
    </r>
    <r>
      <rPr>
        <b/>
        <u/>
        <sz val="10"/>
        <rFont val="Times New Roman"/>
        <family val="1"/>
        <charset val="186"/>
      </rPr>
      <t>Vienkartinei draudimo išmokai apdraustajam</t>
    </r>
  </si>
  <si>
    <r>
      <t xml:space="preserve">          </t>
    </r>
    <r>
      <rPr>
        <b/>
        <u/>
        <sz val="10"/>
        <rFont val="Times New Roman"/>
        <family val="1"/>
        <charset val="186"/>
      </rPr>
      <t xml:space="preserve"> mirus</t>
    </r>
    <r>
      <rPr>
        <sz val="10"/>
        <rFont val="Times New Roman"/>
        <family val="1"/>
        <charset val="186"/>
      </rPr>
      <t xml:space="preserve"> (su atidėjinių pokyčiu)</t>
    </r>
  </si>
  <si>
    <r>
      <t xml:space="preserve"> 2.5.5. </t>
    </r>
    <r>
      <rPr>
        <b/>
        <u/>
        <sz val="10"/>
        <rFont val="Times New Roman"/>
        <family val="1"/>
        <charset val="186"/>
      </rPr>
      <t>Periodinei draudimo išmokai apdraustajam mirus</t>
    </r>
  </si>
  <si>
    <r>
      <t xml:space="preserve">       </t>
    </r>
    <r>
      <rPr>
        <b/>
        <u/>
        <sz val="11"/>
        <rFont val="Times New Roman"/>
        <family val="1"/>
        <charset val="186"/>
      </rPr>
      <t xml:space="preserve"> sumos</t>
    </r>
  </si>
  <si>
    <t>1.</t>
  </si>
  <si>
    <t>Įprastinė veikla</t>
  </si>
  <si>
    <t>1.1.</t>
  </si>
  <si>
    <t>1.1.1.</t>
  </si>
  <si>
    <t>Darbdavių socialinės įmokos</t>
  </si>
  <si>
    <t>1.1.2.</t>
  </si>
  <si>
    <t>1.1.3.</t>
  </si>
  <si>
    <t>1.1.4.</t>
  </si>
  <si>
    <t>Iš valstybės biudžeto, kitų valstybės piniginių išteklių ir (ar) Europos Sąjungos struktūrinių ir kitų fondų pervedamos lėšos</t>
  </si>
  <si>
    <t>1.1.5.</t>
  </si>
  <si>
    <t>1.1.5.1.</t>
  </si>
  <si>
    <t>Pajamos už investuotas laikinai laisvas lėšas</t>
  </si>
  <si>
    <t>1.1.5.2.</t>
  </si>
  <si>
    <t>Delspinigiai, palūkanos ir baudos</t>
  </si>
  <si>
    <t>1.1.6.</t>
  </si>
  <si>
    <t>Kitos įplaukos</t>
  </si>
  <si>
    <t>1.2.</t>
  </si>
  <si>
    <t>1.2.1.</t>
  </si>
  <si>
    <t>Socialinės išmokos</t>
  </si>
  <si>
    <t>1.2.2.</t>
  </si>
  <si>
    <t>Mokesčiai į Valstybinio socialinio draudimo fondą</t>
  </si>
  <si>
    <t>1.2.3.</t>
  </si>
  <si>
    <t>Administravimo išlaidos</t>
  </si>
  <si>
    <t>1.2.4.</t>
  </si>
  <si>
    <t>Laikinai laisvų lėšų investavimo išlaidos</t>
  </si>
  <si>
    <t>1.2.5.</t>
  </si>
  <si>
    <t>Kitos išlaidos</t>
  </si>
  <si>
    <t>2.</t>
  </si>
  <si>
    <t>Investicinė veikla</t>
  </si>
  <si>
    <t>2.1.</t>
  </si>
  <si>
    <t>Išlaidos akcijoms, obligacijoms, kitiems vertybiniams popieriams įsigyti</t>
  </si>
  <si>
    <t>2.2.</t>
  </si>
  <si>
    <t xml:space="preserve">Įplaukos, gautos pardavus akcijas, obligacijas, kitus vertybinius popierius </t>
  </si>
  <si>
    <t>3.</t>
  </si>
  <si>
    <t xml:space="preserve">Finansinė veikla </t>
  </si>
  <si>
    <t>3.1.</t>
  </si>
  <si>
    <t xml:space="preserve">Gautos paskolos  </t>
  </si>
  <si>
    <t>3.2.</t>
  </si>
  <si>
    <t>Grąžintos paskolos</t>
  </si>
  <si>
    <t>4.</t>
  </si>
  <si>
    <t>Grynųjų pinigų ir jų ekvivalentų pokytis</t>
  </si>
  <si>
    <t>5.</t>
  </si>
  <si>
    <t>Grynųjų pinigų ir jų ekvivalentų cirkuliacija</t>
  </si>
  <si>
    <t>5.1.</t>
  </si>
  <si>
    <t>Metų pradžioje</t>
  </si>
  <si>
    <t>5.2.</t>
  </si>
  <si>
    <t>Pokytis</t>
  </si>
  <si>
    <t>5.3.</t>
  </si>
  <si>
    <t>Metų pabaigoje</t>
  </si>
  <si>
    <t>9 lentelė</t>
  </si>
  <si>
    <t>Įplaukos</t>
  </si>
  <si>
    <t>Savanoriškos socialinės įmokos</t>
  </si>
  <si>
    <t>Išlaidos</t>
  </si>
  <si>
    <t>1.1.4.1.</t>
  </si>
  <si>
    <t>1.1.4.2.</t>
  </si>
  <si>
    <t>10 lentelė</t>
  </si>
  <si>
    <t>Iš valstybės biudžeto ir (ar) kitų valstybės piniginių išteklių pervedamos lėšos</t>
  </si>
  <si>
    <t xml:space="preserve">  1.6. Savanoriškojo socialinio draudimo įmokos</t>
  </si>
  <si>
    <t xml:space="preserve"> 1.8.2. Kitos lėšos  iš valstybės biudžeto  </t>
  </si>
  <si>
    <t xml:space="preserve">  1.9. Veiklos pajamos </t>
  </si>
  <si>
    <t>1.9.2.1. Rezervinio fondo gautos palūkanos už likučius bankų sąskaitose, dividendai</t>
  </si>
  <si>
    <t>1.9.2.2. Rezervinio fondo gautos palūkanos už vertybinius popierius ir indėlius</t>
  </si>
  <si>
    <t>1.10. Kitos teisėtai gautinos lėšos</t>
  </si>
  <si>
    <t xml:space="preserve">   1.1.1.  Įplaukos, iš jų:</t>
  </si>
  <si>
    <t xml:space="preserve">    1.1.1.1. Įmokos pensijų socialiniam draudimui</t>
  </si>
  <si>
    <t>1.1.1.5. Įmokos nelaimingų atsitikimų darbe ir profesinių ligų  socialiniam draudimui</t>
  </si>
  <si>
    <t>1.1.1.6. Savanoriškojo socialinio draudimo įmokos</t>
  </si>
  <si>
    <t>1.1.1.8.  Iš valstybės biudžeto ir ( ar) kitų valstybės piniginių išteklių gautos lėšos</t>
  </si>
  <si>
    <t xml:space="preserve">1.1.1.9. Veiklos pajamos </t>
  </si>
  <si>
    <t xml:space="preserve">1.1.1.9.1.1. Pensijų fondai </t>
  </si>
  <si>
    <t>1.1.1.9.1.4. Ilgalaikio darbo išmokų fondas</t>
  </si>
  <si>
    <t xml:space="preserve"> 1.1.1.9.2.2. Rezervinio fondo gautos palūkanos  už vertybinius popierius ir indėlius</t>
  </si>
  <si>
    <t xml:space="preserve">1.1.1.10.  Kitos teisėtai gautos lėšos </t>
  </si>
  <si>
    <t>1.1.1.11.  Iš Rezervo fondo gautos lėšos</t>
  </si>
  <si>
    <t xml:space="preserve">   1.2.1.7. Kitos  įplaukos</t>
  </si>
  <si>
    <t xml:space="preserve">   1.2.2.1 Valstybės biudžeto išmokos</t>
  </si>
  <si>
    <t xml:space="preserve">   2.5.3. Kitos išlaidos (ne Rezervinio fondo)  akcijoms, obligacijoms ir kitiems vertybiniams popieriams įsisgyti</t>
  </si>
  <si>
    <r>
      <rPr>
        <b/>
        <sz val="11"/>
        <rFont val="Times New Roman"/>
        <family val="1"/>
        <charset val="186"/>
      </rPr>
      <t xml:space="preserve">        </t>
    </r>
    <r>
      <rPr>
        <b/>
        <u/>
        <sz val="11"/>
        <rFont val="Times New Roman"/>
        <family val="1"/>
        <charset val="186"/>
      </rPr>
      <t>Lėšos, pervedamos į pensijų fondus</t>
    </r>
  </si>
  <si>
    <r>
      <t xml:space="preserve">2.6.  </t>
    </r>
    <r>
      <rPr>
        <b/>
        <u/>
        <sz val="11"/>
        <rFont val="Times New Roman"/>
        <family val="1"/>
        <charset val="186"/>
      </rPr>
      <t>Neatgautinos ir abejotinai atgautinos</t>
    </r>
  </si>
  <si>
    <r>
      <t xml:space="preserve">2.7.  </t>
    </r>
    <r>
      <rPr>
        <b/>
        <u/>
        <sz val="12"/>
        <rFont val="Times New Roman"/>
        <family val="1"/>
        <charset val="186"/>
      </rPr>
      <t>Veiklos sąnaudos</t>
    </r>
  </si>
  <si>
    <t>2.7.1. Fondo administravimo įstaigų finansavimo</t>
  </si>
  <si>
    <t>2.7.2. Kitos Fondo veiklos sąnaudos</t>
  </si>
  <si>
    <t>IŠ VISO SĄNAUDŲ:</t>
  </si>
  <si>
    <t>2.7.3. Ilgalaikio turto nusidėvėjimas (amortizacija)</t>
  </si>
  <si>
    <r>
      <t xml:space="preserve">2.5.2. </t>
    </r>
    <r>
      <rPr>
        <b/>
        <u/>
        <sz val="10"/>
        <rFont val="Times New Roman"/>
        <family val="1"/>
        <charset val="186"/>
      </rPr>
      <t>Netekto dalyvumo vienkartinei kompensacijai</t>
    </r>
  </si>
  <si>
    <t xml:space="preserve">          Terminuotam dalyvumui</t>
  </si>
  <si>
    <t xml:space="preserve">         Neterminuotam dalyvumui</t>
  </si>
  <si>
    <t xml:space="preserve">          Apdraustieji, netekę iki 20% dalyvumo</t>
  </si>
  <si>
    <t xml:space="preserve">          Apdraustieji, netekę nuo 20% iki 30% dalyvumo</t>
  </si>
  <si>
    <t xml:space="preserve">           Netekto dalyvumo vienkartinių kompensacijų </t>
  </si>
  <si>
    <r>
      <t xml:space="preserve">2.5.3. </t>
    </r>
    <r>
      <rPr>
        <b/>
        <u/>
        <sz val="10"/>
        <rFont val="Times New Roman"/>
        <family val="1"/>
        <charset val="186"/>
      </rPr>
      <t xml:space="preserve"> Netekto dalyvumo periodinei kompensacijai</t>
    </r>
  </si>
  <si>
    <t xml:space="preserve">2027 m. </t>
  </si>
  <si>
    <t>1.1.1.9.1.5. Pensijų anuitetų fondas</t>
  </si>
  <si>
    <t xml:space="preserve">    1.1. Įmokos pensijų socialiniam draudimui</t>
  </si>
  <si>
    <t xml:space="preserve">   1.3. Įmokos motinystės  socialiniam draudimui</t>
  </si>
  <si>
    <t xml:space="preserve">  1.5. Įmokos nelaimingų atsitikimų darbe ir profesinių ligų  socialiniam draudimui</t>
  </si>
  <si>
    <t>2.4.2. Nuvertėjimo ir nurašytos sumos</t>
  </si>
  <si>
    <t>2.4.3. Kitos sumos</t>
  </si>
  <si>
    <t xml:space="preserve">             Negalios (netekto darbingumo) pensijoms </t>
  </si>
  <si>
    <t xml:space="preserve">             Negalios (netekto darbingumo) pensijų gavėjai </t>
  </si>
  <si>
    <t xml:space="preserve">             Vidutinė negalios (netekto darbingumo) pensija </t>
  </si>
  <si>
    <t xml:space="preserve">             Negalios (netekto darbingumo) pensijų atidėjiniai</t>
  </si>
  <si>
    <t>2022 m. – 24 542 594,0 tūkst. Eur;</t>
  </si>
  <si>
    <t>2.5.2. Nuvertėjimo ir nurašytos sumos</t>
  </si>
  <si>
    <t>1.1.1.1.1. Draudėjų socialinio draudimo įmokos</t>
  </si>
  <si>
    <t>1.1.1.1.2. Apdraustųjų socialinio draudimo įmokos</t>
  </si>
  <si>
    <t>1.1.1.1.3. Savarankiškai dirbančių socialinio draudimo įmokos</t>
  </si>
  <si>
    <t>1.1.1.2. Įmokos ligos socialiniam draudimui</t>
  </si>
  <si>
    <t>1.1.1.2.1. Draudėjų socialinio draudimo įmokos</t>
  </si>
  <si>
    <t>1.1.1.2.2. Apdraustųjų socialinio draudimo įmokos</t>
  </si>
  <si>
    <t>1.1.1.2.3. Savarankiškai dirbančių socialinio draudimo įmokos</t>
  </si>
  <si>
    <t>1.1.1.3. Įmokos motinystės socialiniam draudimui</t>
  </si>
  <si>
    <t>1.1.1.3.1. Draudėjų socialinio draudimo įmokos</t>
  </si>
  <si>
    <t>1.1.1.3.2. Apdraustųjų socialinio draudimo įmokos</t>
  </si>
  <si>
    <t>1.1.1.3.3. Savarankiškai dirbančių socialinio draudimo įmokos</t>
  </si>
  <si>
    <t xml:space="preserve"> 1.1.1. 4. Įmokos nedarbo socialiniam draudimui</t>
  </si>
  <si>
    <t>1.1.1.4.1. Draudėjų socialinio draudimo įmokos</t>
  </si>
  <si>
    <t>1.1.1.4.2. Savarankiškai dirbančių socialinio draudimo įmokos</t>
  </si>
  <si>
    <t>1.1.1.5.1. Draudėjų socialinio draudimo įmokos</t>
  </si>
  <si>
    <t xml:space="preserve"> 1.1.1.8.2. Kitos lėšos  iš valstybės biudžeto</t>
  </si>
  <si>
    <t xml:space="preserve">   2.6.3. Kitos įplaukos (ne Rezervinio fondo) akcijoms, obligacijoms ir kitiems vertybiniams popieriams įsigyti</t>
  </si>
  <si>
    <t>2024 m. ataskaita</t>
  </si>
  <si>
    <t xml:space="preserve">2028 m. </t>
  </si>
  <si>
    <t xml:space="preserve">           Negalios (netekto darbingumo / invalidumo) pensijų</t>
  </si>
  <si>
    <t xml:space="preserve">           gavėjai</t>
  </si>
  <si>
    <t xml:space="preserve">             Negalios (netekto darbingumo) pensijų atidėjinių</t>
  </si>
  <si>
    <t xml:space="preserve">            pokytis</t>
  </si>
  <si>
    <t>2028 m. prognozė</t>
  </si>
  <si>
    <t>2023 m. – 27 841 980,7 tūkst. Eur;</t>
  </si>
  <si>
    <t>2024 m. – 31 130 516,1 tūkst. Eur.</t>
  </si>
  <si>
    <t xml:space="preserve">   1.1.1.7.1. Delspinigiai ir baudos ( iki 2023 m. ir rezervinio fondo palūkanos už vetybinius popierius ir indėlius)</t>
  </si>
  <si>
    <t xml:space="preserve">    1.1.1.7.2. Palūkanos</t>
  </si>
  <si>
    <t>2.5.3. Kitos sumos</t>
  </si>
  <si>
    <t>Vidutinės senatvės pensijos santykis su šalies neto</t>
  </si>
  <si>
    <t>VDU</t>
  </si>
  <si>
    <r>
      <t xml:space="preserve">   </t>
    </r>
    <r>
      <rPr>
        <sz val="11"/>
        <rFont val="Times New Roman"/>
        <family val="1"/>
        <charset val="186"/>
      </rPr>
      <t>1.1.2.2. Ligos socialiniam draudimui</t>
    </r>
  </si>
  <si>
    <r>
      <t xml:space="preserve">   </t>
    </r>
    <r>
      <rPr>
        <sz val="11"/>
        <rFont val="Times New Roman"/>
        <family val="1"/>
        <charset val="186"/>
      </rPr>
      <t>1.1.2.3. Motinystės socialiniam draudimui</t>
    </r>
  </si>
  <si>
    <r>
      <t xml:space="preserve">2.1. </t>
    </r>
    <r>
      <rPr>
        <b/>
        <u/>
        <sz val="12"/>
        <rFont val="Times New Roman"/>
        <family val="1"/>
        <charset val="186"/>
      </rPr>
      <t xml:space="preserve">Pensijų socialiniam draudimui </t>
    </r>
  </si>
  <si>
    <r>
      <t xml:space="preserve">2.1.1. </t>
    </r>
    <r>
      <rPr>
        <b/>
        <u/>
        <sz val="10"/>
        <rFont val="Times New Roman"/>
        <family val="1"/>
        <charset val="186"/>
      </rPr>
      <t xml:space="preserve">Senatvės pensijoms </t>
    </r>
    <r>
      <rPr>
        <sz val="10"/>
        <rFont val="Times New Roman"/>
        <family val="1"/>
        <charset val="186"/>
      </rPr>
      <t>(su įsipareigojimų pokyčiu)</t>
    </r>
  </si>
  <si>
    <r>
      <t xml:space="preserve">          </t>
    </r>
    <r>
      <rPr>
        <sz val="10"/>
        <rFont val="Times New Roman"/>
        <family val="1"/>
        <charset val="186"/>
      </rPr>
      <t>Senatvės pensijų įsipareigojimai</t>
    </r>
  </si>
  <si>
    <r>
      <t xml:space="preserve">          </t>
    </r>
    <r>
      <rPr>
        <sz val="10"/>
        <rFont val="Times New Roman"/>
        <family val="1"/>
        <charset val="186"/>
      </rPr>
      <t>Senatvės pensijų įsipareigojimų pokytis</t>
    </r>
  </si>
  <si>
    <r>
      <t>2.1.2.</t>
    </r>
    <r>
      <rPr>
        <b/>
        <u/>
        <sz val="10"/>
        <rFont val="Times New Roman"/>
        <family val="1"/>
        <charset val="186"/>
      </rPr>
      <t xml:space="preserve"> Negalios (netekto darbingumo / invalidumo)</t>
    </r>
  </si>
  <si>
    <r>
      <t xml:space="preserve">       </t>
    </r>
    <r>
      <rPr>
        <sz val="10"/>
        <rFont val="Times New Roman"/>
        <family val="1"/>
        <charset val="186"/>
      </rPr>
      <t xml:space="preserve">   pensijoms (su atidėjinių pokyčiu)</t>
    </r>
  </si>
  <si>
    <r>
      <t xml:space="preserve">            I</t>
    </r>
    <r>
      <rPr>
        <b/>
        <u/>
        <sz val="10"/>
        <rFont val="Times New Roman"/>
        <family val="1"/>
        <charset val="186"/>
      </rPr>
      <t xml:space="preserve">nvalidumo pensijoms </t>
    </r>
  </si>
  <si>
    <r>
      <t xml:space="preserve">             </t>
    </r>
    <r>
      <rPr>
        <b/>
        <u/>
        <sz val="10"/>
        <rFont val="Times New Roman"/>
        <family val="1"/>
        <charset val="186"/>
      </rPr>
      <t>Negalios (netekto darbingumo) pensijoms</t>
    </r>
  </si>
  <si>
    <r>
      <t xml:space="preserve">           </t>
    </r>
    <r>
      <rPr>
        <sz val="10"/>
        <rFont val="Times New Roman"/>
        <family val="1"/>
        <charset val="186"/>
      </rPr>
      <t xml:space="preserve">   (su atidėjinių pokyčiu)</t>
    </r>
  </si>
  <si>
    <r>
      <t>2.1.3.</t>
    </r>
    <r>
      <rPr>
        <b/>
        <u/>
        <sz val="10"/>
        <rFont val="Times New Roman"/>
        <family val="1"/>
        <charset val="186"/>
      </rPr>
      <t xml:space="preserve"> Našlių ir našlaičių (maitintojo</t>
    </r>
  </si>
  <si>
    <r>
      <t xml:space="preserve">           </t>
    </r>
    <r>
      <rPr>
        <b/>
        <u/>
        <sz val="10"/>
        <rFont val="Times New Roman"/>
        <family val="1"/>
        <charset val="186"/>
      </rPr>
      <t xml:space="preserve">netekimo) pensijoms </t>
    </r>
    <r>
      <rPr>
        <sz val="10"/>
        <rFont val="Times New Roman"/>
        <family val="1"/>
        <charset val="186"/>
      </rPr>
      <t>(su atidėjinių pokyčiu)</t>
    </r>
  </si>
  <si>
    <r>
      <t xml:space="preserve">            Našlaičių pensijoms</t>
    </r>
    <r>
      <rPr>
        <sz val="10"/>
        <rFont val="Times New Roman"/>
        <family val="1"/>
        <charset val="186"/>
      </rPr>
      <t xml:space="preserve"> (su atidėjinių pokyčiu)</t>
    </r>
  </si>
  <si>
    <r>
      <t xml:space="preserve">            Našlių pensijoms</t>
    </r>
    <r>
      <rPr>
        <b/>
        <sz val="8"/>
        <rFont val="Times New Roman"/>
        <family val="1"/>
        <charset val="186"/>
      </rPr>
      <t xml:space="preserve"> (už mirusius po 95-01-01) </t>
    </r>
  </si>
  <si>
    <r>
      <t xml:space="preserve">     </t>
    </r>
    <r>
      <rPr>
        <sz val="10"/>
        <rFont val="Times New Roman"/>
        <family val="1"/>
        <charset val="186"/>
      </rPr>
      <t xml:space="preserve">       (su atidėjinių pokyčiu)</t>
    </r>
  </si>
  <si>
    <r>
      <t xml:space="preserve">            Našlių pensijoms</t>
    </r>
    <r>
      <rPr>
        <sz val="8"/>
        <rFont val="Times New Roman"/>
        <family val="1"/>
        <charset val="186"/>
      </rPr>
      <t xml:space="preserve"> (už mirusius po 95-01-01)</t>
    </r>
  </si>
  <si>
    <r>
      <t xml:space="preserve">            Našlių pensijoms</t>
    </r>
    <r>
      <rPr>
        <b/>
        <sz val="8"/>
        <rFont val="Times New Roman"/>
        <family val="1"/>
        <charset val="186"/>
      </rPr>
      <t xml:space="preserve"> (už mirusius iki 95-01-01)</t>
    </r>
  </si>
  <si>
    <r>
      <t xml:space="preserve">2.1.4. </t>
    </r>
    <r>
      <rPr>
        <b/>
        <u/>
        <sz val="10"/>
        <rFont val="Times New Roman"/>
        <family val="1"/>
        <charset val="186"/>
      </rPr>
      <t>Ištarnauto laiko pensijoms</t>
    </r>
  </si>
  <si>
    <r>
      <t xml:space="preserve">2.1.5. </t>
    </r>
    <r>
      <rPr>
        <b/>
        <u/>
        <sz val="10"/>
        <rFont val="Times New Roman"/>
        <family val="1"/>
        <charset val="186"/>
      </rPr>
      <t>Kompensacijoms už ypatingas darbo sąlygas</t>
    </r>
  </si>
  <si>
    <r>
      <t xml:space="preserve">2.1.6. </t>
    </r>
    <r>
      <rPr>
        <b/>
        <u/>
        <sz val="10"/>
        <rFont val="Times New Roman"/>
        <family val="1"/>
        <charset val="186"/>
      </rPr>
      <t>Išankstinėms senatvės pensijoms</t>
    </r>
  </si>
  <si>
    <r>
      <t xml:space="preserve">2.1.7. </t>
    </r>
    <r>
      <rPr>
        <b/>
        <u/>
        <sz val="10"/>
        <rFont val="Times New Roman"/>
        <family val="1"/>
        <charset val="186"/>
      </rPr>
      <t xml:space="preserve">Išmokoms mirusius pensijų gavėjus </t>
    </r>
  </si>
  <si>
    <r>
      <t xml:space="preserve">           </t>
    </r>
    <r>
      <rPr>
        <b/>
        <u/>
        <sz val="10"/>
        <rFont val="Times New Roman"/>
        <family val="1"/>
        <charset val="186"/>
      </rPr>
      <t>laidojusiems asmenims</t>
    </r>
  </si>
  <si>
    <r>
      <t>2.1.8.</t>
    </r>
    <r>
      <rPr>
        <b/>
        <u/>
        <sz val="10"/>
        <rFont val="Times New Roman"/>
        <family val="1"/>
        <charset val="186"/>
      </rPr>
      <t xml:space="preserve"> Valstybinio socialinio draudimo fonde</t>
    </r>
  </si>
  <si>
    <r>
      <t xml:space="preserve">           </t>
    </r>
    <r>
      <rPr>
        <b/>
        <u/>
        <sz val="10"/>
        <rFont val="Times New Roman"/>
        <family val="1"/>
        <charset val="186"/>
      </rPr>
      <t>įgytoms pensinėms teisėms</t>
    </r>
  </si>
  <si>
    <r>
      <t xml:space="preserve">2.1.9. </t>
    </r>
    <r>
      <rPr>
        <b/>
        <u/>
        <sz val="10"/>
        <rFont val="Times New Roman"/>
        <family val="1"/>
        <charset val="186"/>
      </rPr>
      <t>Lėšos, pervedamos į pensijų fondus</t>
    </r>
  </si>
  <si>
    <r>
      <t xml:space="preserve">2.2. </t>
    </r>
    <r>
      <rPr>
        <b/>
        <u/>
        <sz val="12"/>
        <rFont val="Times New Roman"/>
        <family val="1"/>
        <charset val="186"/>
      </rPr>
      <t>Ligos socialiniam draudimui</t>
    </r>
  </si>
  <si>
    <r>
      <t xml:space="preserve">2.2.1. </t>
    </r>
    <r>
      <rPr>
        <b/>
        <u/>
        <sz val="11"/>
        <rFont val="Times New Roman"/>
        <family val="1"/>
        <charset val="186"/>
      </rPr>
      <t>Privalomajam socialiniam</t>
    </r>
  </si>
  <si>
    <r>
      <t xml:space="preserve">         </t>
    </r>
    <r>
      <rPr>
        <b/>
        <u/>
        <sz val="11"/>
        <rFont val="Times New Roman"/>
        <family val="1"/>
        <charset val="186"/>
      </rPr>
      <t>draudimui</t>
    </r>
    <r>
      <rPr>
        <sz val="11"/>
        <rFont val="Times New Roman"/>
        <family val="1"/>
        <charset val="186"/>
      </rPr>
      <t xml:space="preserve"> (su atidėjinių pokyčiu)</t>
    </r>
  </si>
  <si>
    <r>
      <rPr>
        <b/>
        <sz val="10"/>
        <rFont val="Times New Roman"/>
        <family val="1"/>
        <charset val="186"/>
      </rPr>
      <t xml:space="preserve">2.2.1.1. </t>
    </r>
    <r>
      <rPr>
        <b/>
        <u/>
        <sz val="10"/>
        <rFont val="Times New Roman"/>
        <family val="1"/>
        <charset val="186"/>
      </rPr>
      <t>Ligos išmokoms</t>
    </r>
    <r>
      <rPr>
        <u/>
        <sz val="10"/>
        <rFont val="Times New Roman"/>
        <family val="1"/>
        <charset val="186"/>
      </rPr>
      <t xml:space="preserve"> (su atidėjinių pokyčiu)</t>
    </r>
  </si>
  <si>
    <r>
      <rPr>
        <b/>
        <sz val="10"/>
        <rFont val="Times New Roman"/>
        <family val="1"/>
        <charset val="186"/>
      </rPr>
      <t xml:space="preserve">2.2.1.2. </t>
    </r>
    <r>
      <rPr>
        <b/>
        <u/>
        <sz val="10"/>
        <rFont val="Times New Roman"/>
        <family val="1"/>
        <charset val="186"/>
      </rPr>
      <t>Profesinės reabilitacijos išmokoms</t>
    </r>
  </si>
  <si>
    <r>
      <t xml:space="preserve">2.2.2. </t>
    </r>
    <r>
      <rPr>
        <b/>
        <u/>
        <sz val="11"/>
        <rFont val="Times New Roman"/>
        <family val="1"/>
        <charset val="186"/>
      </rPr>
      <t>Savanoriškajam socialiniam</t>
    </r>
  </si>
  <si>
    <r>
      <t xml:space="preserve">          </t>
    </r>
    <r>
      <rPr>
        <b/>
        <u/>
        <sz val="11"/>
        <rFont val="Times New Roman"/>
        <family val="1"/>
        <charset val="186"/>
      </rPr>
      <t xml:space="preserve">  draudimui</t>
    </r>
  </si>
  <si>
    <r>
      <t xml:space="preserve">2.3.  </t>
    </r>
    <r>
      <rPr>
        <b/>
        <u/>
        <sz val="12"/>
        <rFont val="Times New Roman"/>
        <family val="1"/>
        <charset val="186"/>
      </rPr>
      <t>Motinystės socialiniam draudimui</t>
    </r>
  </si>
  <si>
    <r>
      <t xml:space="preserve">2.3.1. </t>
    </r>
    <r>
      <rPr>
        <b/>
        <u/>
        <sz val="11"/>
        <rFont val="Times New Roman"/>
        <family val="1"/>
        <charset val="186"/>
      </rPr>
      <t>Privalomajam socialiniam</t>
    </r>
  </si>
  <si>
    <r>
      <t xml:space="preserve">           </t>
    </r>
    <r>
      <rPr>
        <b/>
        <u/>
        <sz val="11"/>
        <rFont val="Times New Roman"/>
        <family val="1"/>
        <charset val="186"/>
      </rPr>
      <t>draudimui</t>
    </r>
    <r>
      <rPr>
        <sz val="11"/>
        <rFont val="Times New Roman"/>
        <family val="1"/>
        <charset val="186"/>
      </rPr>
      <t xml:space="preserve"> (su atidėjinių pokyčiu)</t>
    </r>
  </si>
  <si>
    <r>
      <rPr>
        <b/>
        <sz val="10"/>
        <rFont val="Times New Roman"/>
        <family val="1"/>
        <charset val="186"/>
      </rPr>
      <t xml:space="preserve">2.3.1.1. </t>
    </r>
    <r>
      <rPr>
        <b/>
        <u/>
        <sz val="10"/>
        <rFont val="Times New Roman"/>
        <family val="1"/>
        <charset val="186"/>
      </rPr>
      <t>Motinystės išmokoms</t>
    </r>
    <r>
      <rPr>
        <sz val="10"/>
        <rFont val="Times New Roman"/>
        <family val="1"/>
        <charset val="186"/>
      </rPr>
      <t xml:space="preserve"> (su atidėjinių pokyčiu)</t>
    </r>
  </si>
  <si>
    <r>
      <rPr>
        <b/>
        <sz val="10"/>
        <rFont val="Times New Roman"/>
        <family val="1"/>
        <charset val="186"/>
      </rPr>
      <t xml:space="preserve">2.3.1.2.  </t>
    </r>
    <r>
      <rPr>
        <b/>
        <u/>
        <sz val="10"/>
        <rFont val="Times New Roman"/>
        <family val="1"/>
        <charset val="186"/>
      </rPr>
      <t>Vaiko priežiūros išmokoms</t>
    </r>
    <r>
      <rPr>
        <sz val="10"/>
        <rFont val="Times New Roman"/>
        <family val="1"/>
        <charset val="186"/>
      </rPr>
      <t xml:space="preserve"> (su atidėjinių pokyčiu)</t>
    </r>
  </si>
  <si>
    <r>
      <t xml:space="preserve">              sukaks 18 mėn., nuo 2023-01-01</t>
    </r>
    <r>
      <rPr>
        <sz val="10"/>
        <rFont val="Times New Roman"/>
        <family val="1"/>
        <charset val="186"/>
      </rPr>
      <t xml:space="preserve"> (su atidėjinių pokyčiu)</t>
    </r>
  </si>
  <si>
    <r>
      <t xml:space="preserve">              </t>
    </r>
    <r>
      <rPr>
        <sz val="10"/>
        <rFont val="Times New Roman"/>
        <family val="1"/>
        <charset val="186"/>
      </rPr>
      <t>Vaiko priežiūros išmokoms</t>
    </r>
  </si>
  <si>
    <r>
      <rPr>
        <b/>
        <sz val="10"/>
        <rFont val="Times New Roman"/>
        <family val="1"/>
        <charset val="186"/>
      </rPr>
      <t xml:space="preserve">2.3.1.3. </t>
    </r>
    <r>
      <rPr>
        <b/>
        <u/>
        <sz val="10"/>
        <rFont val="Times New Roman"/>
        <family val="1"/>
        <charset val="186"/>
      </rPr>
      <t>Tėvystės išmokoms</t>
    </r>
    <r>
      <rPr>
        <sz val="10"/>
        <rFont val="Times New Roman"/>
        <family val="1"/>
        <charset val="186"/>
      </rPr>
      <t xml:space="preserve"> (su atidėjinių pokyčiu)</t>
    </r>
  </si>
  <si>
    <r>
      <t xml:space="preserve">              </t>
    </r>
    <r>
      <rPr>
        <sz val="10"/>
        <rFont val="Times New Roman"/>
        <family val="1"/>
        <charset val="186"/>
      </rPr>
      <t>Tėvystės išmokoms</t>
    </r>
  </si>
  <si>
    <r>
      <t xml:space="preserve">2.3.2. </t>
    </r>
    <r>
      <rPr>
        <b/>
        <u/>
        <sz val="11"/>
        <rFont val="Times New Roman"/>
        <family val="1"/>
        <charset val="186"/>
      </rPr>
      <t>Savanoriškajam socialiniam</t>
    </r>
  </si>
  <si>
    <r>
      <t xml:space="preserve">           </t>
    </r>
    <r>
      <rPr>
        <b/>
        <u/>
        <sz val="11"/>
        <rFont val="Times New Roman"/>
        <family val="1"/>
        <charset val="186"/>
      </rPr>
      <t>draudimui motinystės išmokoms</t>
    </r>
  </si>
  <si>
    <r>
      <t xml:space="preserve">2.4. </t>
    </r>
    <r>
      <rPr>
        <b/>
        <u/>
        <sz val="12"/>
        <rFont val="Times New Roman"/>
        <family val="1"/>
        <charset val="186"/>
      </rPr>
      <t>Nedarbo socialiniam draudimui</t>
    </r>
  </si>
  <si>
    <r>
      <t xml:space="preserve">2.4.1. </t>
    </r>
    <r>
      <rPr>
        <b/>
        <u/>
        <sz val="10"/>
        <rFont val="Times New Roman"/>
        <family val="1"/>
        <charset val="186"/>
      </rPr>
      <t>Nedarbo draudimo išmokoms</t>
    </r>
    <r>
      <rPr>
        <sz val="10"/>
        <rFont val="Times New Roman"/>
        <family val="1"/>
        <charset val="186"/>
      </rPr>
      <t xml:space="preserve"> (su atidėjinių pokyčiu)</t>
    </r>
  </si>
  <si>
    <t xml:space="preserve">2029 m. </t>
  </si>
  <si>
    <t xml:space="preserve">   Draudėjams, pas kuriuos per pastaruosius tris kalendorinius metus įvyko mažiau mirtinų ir sunkių nelaimingų atsitikimų darbe, pripažintų draudžiamaisiais įvykiais, nelaimingų atsitikimų darbe ir profesinių ligų socialinio draudimo įmokos tarifas bus  0,44 proc.  Jie bus priskirti antrajai įmokos tarifo grupei.                                                                                                                                                                                                      </t>
  </si>
  <si>
    <t xml:space="preserve">   Valstybinei darbo inspekcijai pateikus informaciją apie laikotarpiu nuo 2025.11.01 iki 2026.11.01 nustatytus darbuotojų saugos ir sveikatos teisės aktų pažeidimus, dėl kurių Valstybinės darbo inspekcijos inspektorius priėmė sprendimą sustabdyti darbus ir (ar) nustatė, kad darbo vietose neįvertinta darbuotojų kritimo iš aukščio, apsinuodijimo pavojingomis cheminėmis medžiagomis, galimo daiktų, krovinių kritimo, įrenginių virtimo, birių medžiagų ar grunto griūties rizika ir (ar) nenumatytos šios rizikos prevencijos ar mažinimo priemonės, draudėjai bus priskiriami atitinkamai aukštesnei - antrajai, trečiajai ar ketvirtajai- nelaimingų atsitikimų darbe ir profesinių ligų įmokos tarifo grupei. Ketvirtosios įmokos tarifo grupės tarifo dydis bus 1,4 proc.</t>
  </si>
  <si>
    <t>Nelaimingų atsitikimų darbe ir profesinių ligų socialinio draudimo įmokos tarifų grupės 2027 metais</t>
  </si>
  <si>
    <t>Valstybinio socialinio draudimo fondo administravimo įstaigų veiklos sąnaudų, susijusių su išmokų, finansuojamų iš valstybės biudžeto, skyrimo, mokėjimo ir pristatymo, kompensavimo dydžio apskaičiavimas 2027 metams</t>
  </si>
  <si>
    <t xml:space="preserve"> Planuojamos vidutinės veiklos sąnaudos, tenkančios vienai pareigybei Fondo administravimo įstaigose 2027 metais:</t>
  </si>
  <si>
    <t>PVB = (157415,0 – 0,0 – 12410,0)/ 3264,25 = 44,42 tūkst. Eur</t>
  </si>
  <si>
    <t>PVB - planuojamos vidutinės veiklos sąnaudos, tenkančios vienai pareigybei, 2027 m. (tūkst. Eur)</t>
  </si>
  <si>
    <t>VS – planuojamos Fondo veiklos sąnaudos 2027 m. (157415,0 tūkst. Eur)</t>
  </si>
  <si>
    <t>PAM – planuojamos palūkanos, paskolų administravimo mokesčiai 2027 m. (0,0 tūkst. Eur)</t>
  </si>
  <si>
    <t>IM – planuojamos išmokų mokėjimo sąnaudos 2027 m. (12 410,0 tūkst. Eur)</t>
  </si>
  <si>
    <t>PSKB – planuojamas bendras pareigybių skaičius Fondo administravimo įstaigose 2027 m. (3264,25 pareigybės)</t>
  </si>
  <si>
    <t xml:space="preserve"> Planuojamos Fondo administravimo įstaigų veiklos sąnaudos susijusios su išmokų, finansuojamų iš valstybės biudžeto, skyrimu ir mokėjimu,  2027 m.: </t>
  </si>
  <si>
    <t>Veiklos sąnaudų susijusių su išmokų, finansuojamų iš valstybės biudžeto, skyrimu ir mokėjimu, kompensavimo procentinis dydis 2027 metais:</t>
  </si>
  <si>
    <t>Veiklos sąnaudų susijusių su išmokų, finansuojamų iš valstybės biudžeto, skyrimu, mokėjimu ir pristatymu, kompensavimo procentinis dydis 2027 metais:</t>
  </si>
  <si>
    <t>Valstybinio socialinio draudimo fondo administravimo įstaigų veiklos sąnaudų, patiriamų surenkant ir pervedant įmokas į fondus, kompensavimo dydžio apskaičiavimas 2027 metams</t>
  </si>
  <si>
    <t>Veiklos sąnaudos, patiriamos surenkant ir pervedant sveikatos draudimo įmokas į Privalomąjį sveikatos draudimo fondą 2027 m.:</t>
  </si>
  <si>
    <t>Veiklos sąnaudos, patiriamos pervedant iš valstybės biudžeto už pensijų kaupimo dalyvį mokamas įmokas į pensijų fondus 2027 m.:</t>
  </si>
  <si>
    <t>Vidutinis šalies darbo užmokestis, taikomas apdraustųjų asmenų 2027 m. valstybinio socialinio draudimo įmokų bazei skaičiuoti</t>
  </si>
  <si>
    <t>2025 m. III ketv. - 2415,7 Eur,</t>
  </si>
  <si>
    <t>2025 m. IV ketv. - 2514,1 Eur,</t>
  </si>
  <si>
    <t>2026 m. I ketv. - 2542,8 Eur,</t>
  </si>
  <si>
    <t>2026 m. II ketv. - 2616,0  Eur.</t>
  </si>
  <si>
    <t>Vidutinis šalies darbo užmokestis, taikomas apdraustųjų asmenų 2027 m. valstybinio socialinio draudimo įmokų bazei skaičiuoti:</t>
  </si>
  <si>
    <t>(2415,7 + 2514,1 + 2542,8 + 2616,0)/4  = 2522,15 Eur</t>
  </si>
  <si>
    <t>Garantinio fondo biudžeto 2027 m. skaičiavimai</t>
  </si>
  <si>
    <t xml:space="preserve"> 2.5.2.1 Socialinių įmokų ir išmokų permokų nuvertėjimo ir nurašytų sumų sąnaudos (neatgautinos arba abejotinai atgautinos sumos)</t>
  </si>
  <si>
    <t xml:space="preserve"> 2.5.2.2 Delspinigių, baudų nuvertėjimas ir nurašymas</t>
  </si>
  <si>
    <t>2025 m. ataskaita</t>
  </si>
  <si>
    <t>2026 m. laukiama</t>
  </si>
  <si>
    <t>2027 m. projektas</t>
  </si>
  <si>
    <t>2029 m. prognozė</t>
  </si>
  <si>
    <t>2.1 Ilagalaikio darbo išmokos (su atidėjinių pokyčiu)</t>
  </si>
  <si>
    <t>2.4.1. Aktyvios darbo rinkos politikos priemonės</t>
  </si>
  <si>
    <t>2.4.2.1.  Socialinių įmokų ir išmokų permokų nuvertėjimo ir nurašytų sumų sąnaudos (neatgautinos arba abejotinai atgautinos sumos)</t>
  </si>
  <si>
    <t>2.4.2.2. Delspinigių, baudų nuvertėjimas ir nurašymas</t>
  </si>
  <si>
    <t>Ilgalaikio darbo išmokų fondo biudžeto 2027 m.</t>
  </si>
  <si>
    <t>SKAIČIAVIMAI</t>
  </si>
  <si>
    <t xml:space="preserve"> 2027 m. projektas</t>
  </si>
  <si>
    <t>1.2.4.1.</t>
  </si>
  <si>
    <t xml:space="preserve">Aktyvios darbo rinkos politikos priemonių įgyvendinimo išlaidos </t>
  </si>
  <si>
    <t>1.2.4.2.</t>
  </si>
  <si>
    <t xml:space="preserve">Kitos išlaidos </t>
  </si>
  <si>
    <t>2.5.1. Aktyvios darbo rinkos politikos priemonės</t>
  </si>
  <si>
    <t>1.2.5.1.</t>
  </si>
  <si>
    <t>Aktyvios darbo rinkos politikos priemonių įgyvendinimo išlaidos</t>
  </si>
  <si>
    <t>1.2.5.2.</t>
  </si>
  <si>
    <t>Lėšos, gautos iš darbdavių, administratoriaus reikalavimams tenkinti</t>
  </si>
  <si>
    <t>Garantinio fondo 2027 - 2029 metų įplaukos ir išlaidos</t>
  </si>
  <si>
    <t>Ilgalaikio darbo išmokų fondo 2027-2029 metų įplaukos ir išlaidos</t>
  </si>
  <si>
    <t>1.3. Iš valstybės biudžeto ir (ar) kitų valstybės piniginių išteklių pervedamos lėšos</t>
  </si>
  <si>
    <t xml:space="preserve"> VALSTYBINIO SOCIALINIO DRAUDIMO FONDO ĮPLAUKŲ IR IŠLAIDŲ PAPILDOMOS LENTELĖS</t>
  </si>
  <si>
    <t>1.1.1.9.2.4. Kitos</t>
  </si>
  <si>
    <t>1.1.1.9.2.3. Kitos (ne Rezervinio fondo) veiklos pajamos</t>
  </si>
  <si>
    <t>1.1.1.9.2.3.1. Palūkanos už lėšų likučius sąskaitose</t>
  </si>
  <si>
    <t>2025 m. – 34 107 409,6 tūkst. Eur.</t>
  </si>
  <si>
    <t>2026 m. – 37 319,5 mln. Eur;</t>
  </si>
  <si>
    <t>2027 m. – 39 943,0 mln. Eur;</t>
  </si>
  <si>
    <t>2028 m. – 42 493,9 mln. Eur.</t>
  </si>
  <si>
    <t>2029 m. – 44 992,5 mln. Eur.</t>
  </si>
  <si>
    <t>0,1344 + 0,1181 + 0,0956 + 0,0942 + 0,0703 + 0,0639 + 0,0588</t>
  </si>
  <si>
    <t>= 0,0908</t>
  </si>
  <si>
    <t>4. Socialinio draudimo bazinės pensijos dydis apskaičiuojamas euro cento tikslumu dauginant 2026 m. bazinės pensijos dydį iš 2027 metų pensijos indeksavimo koeficiento:</t>
  </si>
  <si>
    <t>2026 m. socialinio draudimo bazinės pensijos dydis – 327,91 euro;</t>
  </si>
  <si>
    <t>327,91 × 1,0908 = 357,68.</t>
  </si>
  <si>
    <t>2027 metų socialinio draudimo bazinės pensijos dydis – 357,68 euro.</t>
  </si>
  <si>
    <t>5. Socialinio draudimo našlių pensijos bazinis dydis apskaičiuojamas euro cento tikslumu dauginant 2026 m. našlių pensijos bazinį dydį iš 2027 metų pensijų indeksavimo koeficiento:</t>
  </si>
  <si>
    <t>2026 m. socialinio draudimo našlių pensijos bazinis dydis – 46,46 euro;</t>
  </si>
  <si>
    <t>pensijų indeksavimo koeficientas – 1,0908;</t>
  </si>
  <si>
    <t>46,46 × 1,0908 = 50,68.</t>
  </si>
  <si>
    <t>2027 metų socialinio draudimo našlių pensijos bazinis dydis - 50,68 euro.</t>
  </si>
  <si>
    <t>6. Pensijų apskaitos vieneto vertės dydis apskaičiuojamas euro cento tikslumu dauginant 2026 m. galiojusį apskaitos vieneto dydį iš 2027 metų pensijų indeksavimo koeficiento ir dauginant iš 2027 metų individualiosios socialinio draudimo pensijos dalies papildomo indeksavimo koeficiento:</t>
  </si>
  <si>
    <t>2026 m. pensijų apskaitos vieneto vertė – 8,11 euro;</t>
  </si>
  <si>
    <t>2027 metų pensijų indeksavimo koeficientas – 1,0908;</t>
  </si>
  <si>
    <t>8,11 × 1,0908 = 8,85.</t>
  </si>
  <si>
    <t>Lietuvos Respublikos valstybinio socialinio draudimo fondo biudžeto 2027 m.</t>
  </si>
  <si>
    <t>1.9.2.3 Palūkanos už banko likučius</t>
  </si>
  <si>
    <t>1.9.2.4.Kitos</t>
  </si>
  <si>
    <t>2027 metų pensijų indeksavimo koeficiento, socialinio draudimo bazinės pensijos</t>
  </si>
  <si>
    <t>Prognozuojama, kad bendrosios socialinio draudimo pensijų dalies suma 2027 metais bus 4 290 822 tūkst. Eur.</t>
  </si>
  <si>
    <t>pensijų draudimo rūšies įplaukos:   8 538 308 tūkst. Eur</t>
  </si>
  <si>
    <r>
      <t xml:space="preserve">VS </t>
    </r>
    <r>
      <rPr>
        <vertAlign val="subscript"/>
        <sz val="12"/>
        <rFont val="Times New Roman"/>
        <family val="1"/>
        <charset val="186"/>
      </rPr>
      <t>skyrimo ir mokėjimo</t>
    </r>
    <r>
      <rPr>
        <sz val="12"/>
        <rFont val="Times New Roman"/>
        <family val="1"/>
        <charset val="186"/>
      </rPr>
      <t xml:space="preserve"> = 44,42</t>
    </r>
    <r>
      <rPr>
        <vertAlign val="subscript"/>
        <sz val="12"/>
        <rFont val="Times New Roman"/>
        <family val="1"/>
        <charset val="186"/>
      </rPr>
      <t xml:space="preserve"> </t>
    </r>
    <r>
      <rPr>
        <sz val="12"/>
        <rFont val="Times New Roman"/>
        <family val="1"/>
        <charset val="186"/>
      </rPr>
      <t>× 194,0</t>
    </r>
    <r>
      <rPr>
        <vertAlign val="subscript"/>
        <sz val="12"/>
        <rFont val="Times New Roman"/>
        <family val="1"/>
        <charset val="186"/>
      </rPr>
      <t xml:space="preserve"> </t>
    </r>
    <r>
      <rPr>
        <sz val="12"/>
        <rFont val="Times New Roman"/>
        <family val="1"/>
        <charset val="186"/>
      </rPr>
      <t>= 8617 tūkst. Eur</t>
    </r>
  </si>
  <si>
    <r>
      <t xml:space="preserve">VS </t>
    </r>
    <r>
      <rPr>
        <vertAlign val="subscript"/>
        <sz val="10"/>
        <rFont val="Times New Roman"/>
        <family val="1"/>
        <charset val="186"/>
      </rPr>
      <t>skyrimo ir mokėjimo</t>
    </r>
    <r>
      <rPr>
        <sz val="10"/>
        <rFont val="Times New Roman"/>
        <family val="1"/>
        <charset val="186"/>
      </rPr>
      <t xml:space="preserve"> – planuojamos Fondo administravimo įstaigų veiklos sąnaudos susijusios su išmokų, finansuojamų iš valstybės biudžeto, skyrimu ir mokėjimu 2027 m. (tūkst. Eur)</t>
    </r>
  </si>
  <si>
    <r>
      <t>PV</t>
    </r>
    <r>
      <rPr>
        <vertAlign val="subscript"/>
        <sz val="10"/>
        <rFont val="Times New Roman"/>
        <family val="1"/>
        <charset val="186"/>
      </rPr>
      <t xml:space="preserve">B - </t>
    </r>
    <r>
      <rPr>
        <sz val="10"/>
        <rFont val="Times New Roman"/>
        <family val="1"/>
        <charset val="186"/>
      </rPr>
      <t>planuojamos vidutinės veiklos sąnaudos, tenkančios vienai pareigybei, 2027 m. (44,42 tūkst. Eur)</t>
    </r>
  </si>
  <si>
    <r>
      <t>PSK</t>
    </r>
    <r>
      <rPr>
        <vertAlign val="subscript"/>
        <sz val="10"/>
        <rFont val="Times New Roman"/>
        <family val="1"/>
        <charset val="186"/>
      </rPr>
      <t>vb</t>
    </r>
    <r>
      <rPr>
        <sz val="10"/>
        <rFont val="Times New (W1)"/>
        <family val="1"/>
      </rPr>
      <t xml:space="preserve"> – planuojamas pareigybių skaičius Fondo administravimo įstaigose išmokų, finansuojamų iš valstybės biudžeto, skyrimui ir mokėjimui 2027 metais (194,0 pareigybės);</t>
    </r>
  </si>
  <si>
    <r>
      <t xml:space="preserve">T </t>
    </r>
    <r>
      <rPr>
        <vertAlign val="subscript"/>
        <sz val="12"/>
        <rFont val="Times New Roman"/>
        <family val="1"/>
        <charset val="186"/>
      </rPr>
      <t>skyrimo ir mokėjimo</t>
    </r>
    <r>
      <rPr>
        <sz val="12"/>
        <rFont val="Times New Roman"/>
        <family val="1"/>
        <charset val="186"/>
      </rPr>
      <t xml:space="preserve">  = 8617/784042 × 100 = 1,1 proc.</t>
    </r>
  </si>
  <si>
    <r>
      <t>T</t>
    </r>
    <r>
      <rPr>
        <vertAlign val="subscript"/>
        <sz val="10"/>
        <rFont val="Times New Roman"/>
        <family val="1"/>
        <charset val="186"/>
      </rPr>
      <t xml:space="preserve"> skyrimo ir mokėjimo</t>
    </r>
    <r>
      <rPr>
        <sz val="10"/>
        <rFont val="Times New Roman"/>
        <family val="1"/>
        <charset val="186"/>
      </rPr>
      <t xml:space="preserve"> – veiklos sąnaudų susijusių su išmokų, finansuojamų iš valstybės biudžeto, skyrimu ir mokėjimu, kompensavimo procentinis dydis;</t>
    </r>
  </si>
  <si>
    <r>
      <t xml:space="preserve">VS </t>
    </r>
    <r>
      <rPr>
        <vertAlign val="subscript"/>
        <sz val="10"/>
        <rFont val="Times New Roman"/>
        <family val="1"/>
        <charset val="186"/>
      </rPr>
      <t>skyrimo ir mokėjimo</t>
    </r>
    <r>
      <rPr>
        <sz val="10"/>
        <rFont val="Times New Roman"/>
        <family val="1"/>
        <charset val="186"/>
      </rPr>
      <t xml:space="preserve"> – planuojamos Fondo administravimo įstaigų veiklos sąnaudos susijusios su išmokų, finansuojamų iš valstybės biudžeto, skyrimu ir mokėjimu 2027 m. ( 8 617,0 tūkst. Eur)</t>
    </r>
  </si>
  <si>
    <r>
      <t>I</t>
    </r>
    <r>
      <rPr>
        <vertAlign val="subscript"/>
        <sz val="10"/>
        <rFont val="Times New (W1)"/>
        <family val="1"/>
      </rPr>
      <t>s</t>
    </r>
    <r>
      <rPr>
        <sz val="10"/>
        <rFont val="Times New (W1)"/>
        <family val="1"/>
      </rPr>
      <t xml:space="preserve"> – išmokų, finansuojamų iš valstybės biudžeto, planinė suma 2027 m.  (784042,0 tūkst. Eur);</t>
    </r>
  </si>
  <si>
    <r>
      <t xml:space="preserve">2027 metų veiklos sąnaudų susijusių su išmokų, finansuojamų iš valstybės biudžeto, pristatymu, kompensavimo procentinis dydis (T </t>
    </r>
    <r>
      <rPr>
        <vertAlign val="subscript"/>
        <sz val="10"/>
        <rFont val="Times New Roman"/>
        <family val="1"/>
        <charset val="186"/>
      </rPr>
      <t>pristatymo)</t>
    </r>
    <r>
      <rPr>
        <sz val="10"/>
        <rFont val="Times New Roman"/>
        <family val="1"/>
        <charset val="186"/>
      </rPr>
      <t xml:space="preserve"> , numatomas įvertinus paskutinius turimus ataskaitinio laikotarpio duomenis bei naujai pasirašytų sutarčių su išmokų pristatymo įstaigomis įtaką. (2026 m. I pusm. šis tarifas, buvo 0,3 proc.). Planuojama, kad 2027 metų pristatymo tarifas bus 0,3 proc.</t>
    </r>
  </si>
  <si>
    <r>
      <rPr>
        <sz val="12"/>
        <rFont val="Times New Roman"/>
        <family val="1"/>
        <charset val="186"/>
      </rPr>
      <t xml:space="preserve">T </t>
    </r>
    <r>
      <rPr>
        <vertAlign val="subscript"/>
        <sz val="12"/>
        <rFont val="Times New Roman"/>
        <family val="1"/>
        <charset val="186"/>
      </rPr>
      <t>pristatymo</t>
    </r>
    <r>
      <rPr>
        <b/>
        <sz val="12"/>
        <rFont val="Times New Roman"/>
        <family val="1"/>
        <charset val="186"/>
      </rPr>
      <t xml:space="preserve"> = </t>
    </r>
    <r>
      <rPr>
        <sz val="12"/>
        <rFont val="Times New Roman"/>
        <family val="1"/>
        <charset val="186"/>
      </rPr>
      <t>0,3 proc.</t>
    </r>
  </si>
  <si>
    <r>
      <t xml:space="preserve">T = 1,1 + 0,3 = </t>
    </r>
    <r>
      <rPr>
        <b/>
        <sz val="12"/>
        <rFont val="Times New Roman"/>
        <family val="1"/>
        <charset val="186"/>
      </rPr>
      <t>1,4 proc.</t>
    </r>
  </si>
  <si>
    <r>
      <t xml:space="preserve">T </t>
    </r>
    <r>
      <rPr>
        <vertAlign val="subscript"/>
        <sz val="10"/>
        <rFont val="Times New Roman"/>
        <family val="1"/>
        <charset val="186"/>
      </rPr>
      <t>skyrimo ir mokėjimo</t>
    </r>
    <r>
      <rPr>
        <sz val="10"/>
        <rFont val="Times New Roman"/>
        <family val="1"/>
        <charset val="186"/>
      </rPr>
      <t xml:space="preserve"> – veiklos sąnaudų susijusių su išmokų, finansuojamų iš valstybės biudžeto, skyrimu ir mokėjimu, kompensavimo procentinis dydis 2027 m. (1,1 proc.);</t>
    </r>
  </si>
  <si>
    <r>
      <t>T</t>
    </r>
    <r>
      <rPr>
        <vertAlign val="subscript"/>
        <sz val="10"/>
        <rFont val="Times New Roman"/>
        <family val="1"/>
        <charset val="186"/>
      </rPr>
      <t xml:space="preserve"> pristatymo</t>
    </r>
    <r>
      <rPr>
        <sz val="10"/>
        <rFont val="Times New Roman"/>
        <family val="1"/>
        <charset val="186"/>
      </rPr>
      <t xml:space="preserve"> – veiklos sąnaudų susijusių su išmokų, finansuojamų iš valstybės biudžeto, pristatymo kompensavimo procentinis dydis 2027 m. (0,3 proc.).</t>
    </r>
  </si>
  <si>
    <r>
      <t>VS</t>
    </r>
    <r>
      <rPr>
        <vertAlign val="subscript"/>
        <sz val="12"/>
        <rFont val="Times New Roman"/>
        <family val="1"/>
        <charset val="186"/>
      </rPr>
      <t>sveikat.</t>
    </r>
    <r>
      <rPr>
        <sz val="12"/>
        <rFont val="Times New Roman"/>
        <family val="1"/>
        <charset val="186"/>
      </rPr>
      <t xml:space="preserve"> =</t>
    </r>
    <r>
      <rPr>
        <vertAlign val="subscript"/>
        <sz val="12"/>
        <rFont val="Times New Roman"/>
        <family val="1"/>
        <charset val="186"/>
      </rPr>
      <t xml:space="preserve">    </t>
    </r>
    <r>
      <rPr>
        <sz val="12"/>
        <rFont val="Times New Roman"/>
        <family val="1"/>
        <charset val="186"/>
      </rPr>
      <t xml:space="preserve">44,42 ×95 = 4220 tūkst. Eur </t>
    </r>
  </si>
  <si>
    <r>
      <t>VS</t>
    </r>
    <r>
      <rPr>
        <vertAlign val="subscript"/>
        <sz val="10"/>
        <rFont val="Times New Roman"/>
        <family val="1"/>
        <charset val="186"/>
      </rPr>
      <t>svaikat.</t>
    </r>
    <r>
      <rPr>
        <sz val="10"/>
        <rFont val="Times New Roman"/>
        <family val="1"/>
        <charset val="186"/>
      </rPr>
      <t>- veiklos sąnaudos, patiriamos surenkant ir pervedant sveikatos draudimo įmokas į Privalomąjį sveikatos draudimo fondą 2027 m. (tūkst. Eur).</t>
    </r>
  </si>
  <si>
    <r>
      <t>PV</t>
    </r>
    <r>
      <rPr>
        <vertAlign val="subscript"/>
        <sz val="10"/>
        <rFont val="Times New Roman"/>
        <family val="1"/>
        <charset val="186"/>
      </rPr>
      <t>B</t>
    </r>
    <r>
      <rPr>
        <sz val="10"/>
        <rFont val="Times New Roman"/>
        <family val="1"/>
        <charset val="186"/>
      </rPr>
      <t xml:space="preserve"> - planuojamos vidutinės veiklos sąnaudos, tenkančios vienai pareigybei, 2027 m. ( 44,42 tūkst. Eur)</t>
    </r>
  </si>
  <si>
    <r>
      <t>PSK</t>
    </r>
    <r>
      <rPr>
        <vertAlign val="subscript"/>
        <sz val="10"/>
        <rFont val="Times New Roman"/>
        <family val="1"/>
        <charset val="186"/>
      </rPr>
      <t>sveikat.</t>
    </r>
    <r>
      <rPr>
        <sz val="10"/>
        <rFont val="Times New Roman"/>
        <family val="1"/>
        <charset val="186"/>
      </rPr>
      <t xml:space="preserve"> – planuojamas pareigybių, susijusių su įmokų į Privalomajį sveikatos draudimo fondą surinkimu ir pervedimu, skaičius 2027 m. (95 pareigybės)</t>
    </r>
  </si>
  <si>
    <r>
      <t>Veiklos sąnaudų, patiriamų surenkant ir pervedant sveikatos draudimo įmokas į Privalomąjį sveikatos draudimo fondą, kompensavimo procentinis dydis (T</t>
    </r>
    <r>
      <rPr>
        <vertAlign val="subscript"/>
        <sz val="10"/>
        <rFont val="Times New Roman"/>
        <family val="1"/>
        <charset val="186"/>
      </rPr>
      <t>sveikat.</t>
    </r>
    <r>
      <rPr>
        <sz val="10"/>
        <rFont val="Times New Roman"/>
        <family val="1"/>
        <charset val="186"/>
      </rPr>
      <t>) 2027 m.:</t>
    </r>
  </si>
  <si>
    <r>
      <t>T</t>
    </r>
    <r>
      <rPr>
        <vertAlign val="subscript"/>
        <sz val="10"/>
        <rFont val="Times New Roman"/>
        <family val="1"/>
        <charset val="186"/>
      </rPr>
      <t>sveikat.</t>
    </r>
    <r>
      <rPr>
        <sz val="10"/>
        <rFont val="Times New Roman"/>
        <family val="1"/>
        <charset val="186"/>
      </rPr>
      <t xml:space="preserve"> - procentinis dydis, Fondo administravimo įstaigų veiklos sąnaudų kompensavimui už sveikatos draudimo įmokų surinkimą ir pervedimą į Privalomajį sveikatos draudimo fondą (proc.).</t>
    </r>
  </si>
  <si>
    <r>
      <t>VS</t>
    </r>
    <r>
      <rPr>
        <vertAlign val="subscript"/>
        <sz val="10"/>
        <rFont val="Times New Roman"/>
        <family val="1"/>
        <charset val="186"/>
      </rPr>
      <t>sveikat.</t>
    </r>
    <r>
      <rPr>
        <sz val="10"/>
        <rFont val="Times New Roman"/>
        <family val="1"/>
        <charset val="186"/>
      </rPr>
      <t>- veiklos sąnaudos, patiriamos surenkant ir pervedant sveikatos draudimo įmokas į Privalomąjį sveikatos draudimo fondą 2027 m. (4220 tūkst. Eur).</t>
    </r>
  </si>
  <si>
    <r>
      <t>VS</t>
    </r>
    <r>
      <rPr>
        <vertAlign val="subscript"/>
        <sz val="12"/>
        <rFont val="Times New Roman"/>
        <family val="1"/>
        <charset val="186"/>
      </rPr>
      <t>G</t>
    </r>
    <r>
      <rPr>
        <sz val="12"/>
        <rFont val="Times New Roman"/>
        <family val="1"/>
        <charset val="186"/>
      </rPr>
      <t xml:space="preserve"> =</t>
    </r>
    <r>
      <rPr>
        <vertAlign val="subscript"/>
        <sz val="12"/>
        <rFont val="Times New Roman"/>
        <family val="1"/>
        <charset val="186"/>
      </rPr>
      <t xml:space="preserve"> </t>
    </r>
    <r>
      <rPr>
        <sz val="12"/>
        <rFont val="Times New Roman"/>
        <family val="1"/>
        <charset val="186"/>
      </rPr>
      <t xml:space="preserve">44,42 × 3,9 = 173 tūkst. Eur </t>
    </r>
  </si>
  <si>
    <r>
      <t>VS</t>
    </r>
    <r>
      <rPr>
        <vertAlign val="subscript"/>
        <sz val="10"/>
        <rFont val="Times New Roman"/>
        <family val="1"/>
        <charset val="186"/>
      </rPr>
      <t>G</t>
    </r>
    <r>
      <rPr>
        <sz val="10"/>
        <rFont val="Times New Roman"/>
        <family val="1"/>
        <charset val="186"/>
      </rPr>
      <t>- veiklos sąnaudos, patiriamos surenkant ir pervedant įmokas į Garantinį fondą 2027 m. (tūkst. Eur).</t>
    </r>
  </si>
  <si>
    <r>
      <t>PSK</t>
    </r>
    <r>
      <rPr>
        <vertAlign val="subscript"/>
        <sz val="10"/>
        <rFont val="Times New Roman"/>
        <family val="1"/>
        <charset val="186"/>
      </rPr>
      <t>G</t>
    </r>
    <r>
      <rPr>
        <sz val="10"/>
        <rFont val="Times New Roman"/>
        <family val="1"/>
        <charset val="186"/>
      </rPr>
      <t xml:space="preserve"> – planuojamas pareigybių, susijusių su įmokų į Garantinį fondą surinkimu ir pervedimu, skaičius 2027 m. (3,9 pareigybės)</t>
    </r>
  </si>
  <si>
    <r>
      <t>Veiklos sąnaudų, patiriamų surenkant ir pervedant įmokas į Garantinį fondą, kompensavimo procentinis dydis (T</t>
    </r>
    <r>
      <rPr>
        <vertAlign val="subscript"/>
        <sz val="10"/>
        <rFont val="Times New Roman"/>
        <family val="1"/>
        <charset val="186"/>
      </rPr>
      <t>G</t>
    </r>
    <r>
      <rPr>
        <sz val="10"/>
        <rFont val="Times New Roman"/>
        <family val="1"/>
        <charset val="186"/>
      </rPr>
      <t>) 2027 m.:</t>
    </r>
  </si>
  <si>
    <r>
      <t>T</t>
    </r>
    <r>
      <rPr>
        <vertAlign val="subscript"/>
        <sz val="12"/>
        <rFont val="Times New Roman"/>
        <family val="1"/>
        <charset val="186"/>
      </rPr>
      <t>G</t>
    </r>
    <r>
      <rPr>
        <sz val="12"/>
        <rFont val="Times New Roman"/>
        <family val="1"/>
        <charset val="186"/>
      </rPr>
      <t xml:space="preserve"> = 173/55980 × 100 =</t>
    </r>
    <r>
      <rPr>
        <b/>
        <sz val="12"/>
        <rFont val="Times New Roman"/>
        <family val="1"/>
        <charset val="186"/>
      </rPr>
      <t xml:space="preserve"> 0,31 proc. </t>
    </r>
  </si>
  <si>
    <r>
      <t>T</t>
    </r>
    <r>
      <rPr>
        <vertAlign val="subscript"/>
        <sz val="10"/>
        <rFont val="Times New Roman"/>
        <family val="1"/>
        <charset val="186"/>
      </rPr>
      <t>G</t>
    </r>
    <r>
      <rPr>
        <sz val="10"/>
        <rFont val="Times New Roman"/>
        <family val="1"/>
        <charset val="186"/>
      </rPr>
      <t xml:space="preserve"> - procentinis dydis, Fondo administravimo įstaigų veiklos sąnaudų kompensavimui už įmokų surinkimą ir pervedimą į Garantinį fondą (proc.).</t>
    </r>
  </si>
  <si>
    <r>
      <t>VS</t>
    </r>
    <r>
      <rPr>
        <vertAlign val="subscript"/>
        <sz val="10"/>
        <rFont val="Times New Roman"/>
        <family val="1"/>
        <charset val="186"/>
      </rPr>
      <t>G</t>
    </r>
    <r>
      <rPr>
        <sz val="10"/>
        <rFont val="Times New Roman"/>
        <family val="1"/>
        <charset val="186"/>
      </rPr>
      <t>- veiklos sąnaudos, patiriamos surenkant ir pervedant įmokas į Garantinį fondą 2027 m. (173,0 tūkst. Eur).</t>
    </r>
  </si>
  <si>
    <r>
      <t xml:space="preserve">SUM </t>
    </r>
    <r>
      <rPr>
        <vertAlign val="subscript"/>
        <sz val="10"/>
        <rFont val="Times New Roman"/>
        <family val="1"/>
        <charset val="186"/>
      </rPr>
      <t>G</t>
    </r>
    <r>
      <rPr>
        <sz val="10"/>
        <rFont val="Times New Roman"/>
        <family val="1"/>
        <charset val="186"/>
      </rPr>
      <t xml:space="preserve"> – planuojamos darbdavių įmokos į Garantinį fondą 2027 metais (55 980,0  tūkst. Eur);</t>
    </r>
  </si>
  <si>
    <r>
      <t>VS</t>
    </r>
    <r>
      <rPr>
        <vertAlign val="subscript"/>
        <sz val="12"/>
        <rFont val="Times New Roman"/>
        <family val="1"/>
        <charset val="186"/>
      </rPr>
      <t>Ilg</t>
    </r>
    <r>
      <rPr>
        <sz val="12"/>
        <rFont val="Times New Roman"/>
        <family val="1"/>
        <charset val="186"/>
      </rPr>
      <t xml:space="preserve"> =</t>
    </r>
    <r>
      <rPr>
        <vertAlign val="subscript"/>
        <sz val="12"/>
        <rFont val="Times New Roman"/>
        <family val="1"/>
        <charset val="186"/>
      </rPr>
      <t xml:space="preserve"> </t>
    </r>
    <r>
      <rPr>
        <sz val="12"/>
        <rFont val="Times New Roman"/>
        <family val="1"/>
        <charset val="186"/>
      </rPr>
      <t xml:space="preserve">44,42 × 3,9 = 173,0 tūkst. Eur </t>
    </r>
  </si>
  <si>
    <r>
      <t>VS</t>
    </r>
    <r>
      <rPr>
        <vertAlign val="subscript"/>
        <sz val="10"/>
        <rFont val="Times New Roman"/>
        <family val="1"/>
        <charset val="186"/>
      </rPr>
      <t>Ilg</t>
    </r>
    <r>
      <rPr>
        <sz val="10"/>
        <rFont val="Times New Roman"/>
        <family val="1"/>
        <charset val="186"/>
      </rPr>
      <t>- veiklos sąnaudos, patiriamos surenkant ir pervedant įmokas į Ilgalaikio darbo išmokų fondą 2027 m. (tūkst. Eur).</t>
    </r>
  </si>
  <si>
    <r>
      <t>PSK</t>
    </r>
    <r>
      <rPr>
        <vertAlign val="subscript"/>
        <sz val="10"/>
        <rFont val="Times New Roman"/>
        <family val="1"/>
        <charset val="186"/>
      </rPr>
      <t>Ilg</t>
    </r>
    <r>
      <rPr>
        <sz val="10"/>
        <rFont val="Times New Roman"/>
        <family val="1"/>
        <charset val="186"/>
      </rPr>
      <t xml:space="preserve"> – planuojamas pareigybių, susijusių su įmokų į Ilgalaikio darbo išmokų fondą surinkimu ir pervedimu, skaičius 2027 m. (3,9 pareigybės)</t>
    </r>
  </si>
  <si>
    <r>
      <t>Veiklos sąnaudų, patiriamų surenkant ir pervedant įmokas į Ilgalaikio darbo išmokų fondą, kompensavimo procentinis dydis (T</t>
    </r>
    <r>
      <rPr>
        <vertAlign val="subscript"/>
        <sz val="10"/>
        <rFont val="Times New Roman"/>
        <family val="1"/>
        <charset val="186"/>
      </rPr>
      <t>Ilg</t>
    </r>
    <r>
      <rPr>
        <sz val="10"/>
        <rFont val="Times New Roman"/>
        <family val="1"/>
        <charset val="186"/>
      </rPr>
      <t>) 2027 m.:</t>
    </r>
  </si>
  <si>
    <r>
      <t>T</t>
    </r>
    <r>
      <rPr>
        <vertAlign val="subscript"/>
        <sz val="12"/>
        <rFont val="Times New Roman"/>
        <family val="1"/>
        <charset val="186"/>
      </rPr>
      <t>Ilg</t>
    </r>
    <r>
      <rPr>
        <sz val="12"/>
        <rFont val="Times New Roman"/>
        <family val="1"/>
        <charset val="186"/>
      </rPr>
      <t xml:space="preserve"> = 173/55980 × 100 =</t>
    </r>
    <r>
      <rPr>
        <b/>
        <sz val="12"/>
        <rFont val="Times New Roman"/>
        <family val="1"/>
        <charset val="186"/>
      </rPr>
      <t xml:space="preserve"> 0,31 proc. </t>
    </r>
  </si>
  <si>
    <r>
      <t>T</t>
    </r>
    <r>
      <rPr>
        <vertAlign val="subscript"/>
        <sz val="10"/>
        <rFont val="Times New Roman"/>
        <family val="1"/>
        <charset val="186"/>
      </rPr>
      <t>Ilg</t>
    </r>
    <r>
      <rPr>
        <sz val="10"/>
        <rFont val="Times New Roman"/>
        <family val="1"/>
        <charset val="186"/>
      </rPr>
      <t xml:space="preserve"> - procentinis dydis, Fondo administravimo įstaigų veiklos sąnaudų kompensavimui už įmokų surinkimą ir pervedimą į Ilgalaikio darbo išmokų fondą (proc.).</t>
    </r>
  </si>
  <si>
    <r>
      <t>VS</t>
    </r>
    <r>
      <rPr>
        <vertAlign val="subscript"/>
        <sz val="10"/>
        <rFont val="Times New Roman"/>
        <family val="1"/>
        <charset val="186"/>
      </rPr>
      <t>Ilg</t>
    </r>
    <r>
      <rPr>
        <sz val="10"/>
        <rFont val="Times New Roman"/>
        <family val="1"/>
        <charset val="186"/>
      </rPr>
      <t>- veiklos sąnaudos, patiriamos surenkant ir pervedant įmokas į Ilgalaikio darbo išmokų fondą 2027 m. (173,0 tūkst. Eur).</t>
    </r>
  </si>
  <si>
    <r>
      <t xml:space="preserve">SUM </t>
    </r>
    <r>
      <rPr>
        <vertAlign val="subscript"/>
        <sz val="10"/>
        <rFont val="Times New Roman"/>
        <family val="1"/>
        <charset val="186"/>
      </rPr>
      <t>Ilg</t>
    </r>
    <r>
      <rPr>
        <sz val="10"/>
        <rFont val="Times New Roman"/>
        <family val="1"/>
        <charset val="186"/>
      </rPr>
      <t xml:space="preserve"> – planuojamos darbdavių įmokos į Ilgalaikio darbo išmokų fondą 2027 metais (55980,0  tūkst. Eur);</t>
    </r>
  </si>
  <si>
    <r>
      <t>VS</t>
    </r>
    <r>
      <rPr>
        <vertAlign val="subscript"/>
        <sz val="12"/>
        <rFont val="Times New Roman"/>
        <family val="1"/>
        <charset val="186"/>
      </rPr>
      <t>PDL</t>
    </r>
    <r>
      <rPr>
        <sz val="12"/>
        <rFont val="Times New Roman"/>
        <family val="1"/>
        <charset val="186"/>
      </rPr>
      <t xml:space="preserve"> =</t>
    </r>
    <r>
      <rPr>
        <vertAlign val="subscript"/>
        <sz val="12"/>
        <rFont val="Times New Roman"/>
        <family val="1"/>
        <charset val="186"/>
      </rPr>
      <t xml:space="preserve"> </t>
    </r>
    <r>
      <rPr>
        <sz val="12"/>
        <rFont val="Times New Roman"/>
        <family val="1"/>
        <charset val="186"/>
      </rPr>
      <t xml:space="preserve">44,42 × 10,5 = 466 tūkst. Eur </t>
    </r>
  </si>
  <si>
    <r>
      <t>VS</t>
    </r>
    <r>
      <rPr>
        <vertAlign val="subscript"/>
        <sz val="10"/>
        <rFont val="Times New Roman"/>
        <family val="1"/>
        <charset val="186"/>
      </rPr>
      <t>PDL</t>
    </r>
    <r>
      <rPr>
        <sz val="10"/>
        <rFont val="Times New Roman"/>
        <family val="1"/>
        <charset val="186"/>
      </rPr>
      <t>- veiklos sąnaudos, patiriamos pervedant dalyvio lėšomis mokamas įmokas į pensijų fondus 2027 m. (tūkst. Eur).</t>
    </r>
  </si>
  <si>
    <r>
      <t>PSK</t>
    </r>
    <r>
      <rPr>
        <vertAlign val="subscript"/>
        <sz val="10"/>
        <rFont val="Times New Roman"/>
        <family val="1"/>
        <charset val="186"/>
      </rPr>
      <t>PDL</t>
    </r>
    <r>
      <rPr>
        <sz val="10"/>
        <rFont val="Times New Roman"/>
        <family val="1"/>
        <charset val="186"/>
      </rPr>
      <t xml:space="preserve"> – planuojamas pareigybių, susijusių su dalyvio lėšomis mokamų įmokų surinkimu ir pervedimu į pensijų fondus, skaičius 2027 m. (10,5 pareigybių)</t>
    </r>
  </si>
  <si>
    <r>
      <t>Veiklos sąnaudų, patiriamų surenkant ir pervedant dalyvio lėšomis mokamas įmokas į pensijų fondus, kompensavimo procentinis dydis (T</t>
    </r>
    <r>
      <rPr>
        <vertAlign val="subscript"/>
        <sz val="10"/>
        <rFont val="Times New Roman"/>
        <family val="1"/>
        <charset val="186"/>
      </rPr>
      <t>PDL</t>
    </r>
    <r>
      <rPr>
        <sz val="10"/>
        <rFont val="Times New Roman"/>
        <family val="1"/>
        <charset val="186"/>
      </rPr>
      <t>) 2027 m.:</t>
    </r>
  </si>
  <si>
    <r>
      <t>T</t>
    </r>
    <r>
      <rPr>
        <vertAlign val="subscript"/>
        <sz val="12"/>
        <rFont val="Times New Roman"/>
        <family val="1"/>
        <charset val="186"/>
      </rPr>
      <t>PDL</t>
    </r>
    <r>
      <rPr>
        <sz val="12"/>
        <rFont val="Times New Roman"/>
        <family val="1"/>
        <charset val="186"/>
      </rPr>
      <t xml:space="preserve"> = 466/358726  × 100 =</t>
    </r>
    <r>
      <rPr>
        <b/>
        <sz val="12"/>
        <rFont val="Times New Roman"/>
        <family val="1"/>
        <charset val="186"/>
      </rPr>
      <t xml:space="preserve"> 0,13 proc. </t>
    </r>
  </si>
  <si>
    <r>
      <t>T</t>
    </r>
    <r>
      <rPr>
        <vertAlign val="subscript"/>
        <sz val="10"/>
        <rFont val="Times New Roman"/>
        <family val="1"/>
        <charset val="186"/>
      </rPr>
      <t>PDL</t>
    </r>
    <r>
      <rPr>
        <sz val="10"/>
        <rFont val="Times New Roman"/>
        <family val="1"/>
        <charset val="186"/>
      </rPr>
      <t xml:space="preserve"> - procentinis dydis, Fondo administravimo įstaigų veiklos sąnaudų kompensavimui už dalyvio lėšomis mokamų įmokų į pensijų fondus administravimą (proc.).</t>
    </r>
  </si>
  <si>
    <r>
      <t>VS</t>
    </r>
    <r>
      <rPr>
        <vertAlign val="subscript"/>
        <sz val="10"/>
        <rFont val="Times New Roman"/>
        <family val="1"/>
        <charset val="186"/>
      </rPr>
      <t>PDL</t>
    </r>
    <r>
      <rPr>
        <sz val="10"/>
        <rFont val="Times New Roman"/>
        <family val="1"/>
        <charset val="186"/>
      </rPr>
      <t>- veiklos sąnaudos, patiriamos surenkant ir pervedant dalyvio lėšomis mokamas įmokas į pensijų fondus 2027 m. (466 tūkst. Eur).</t>
    </r>
  </si>
  <si>
    <r>
      <t xml:space="preserve">SUM </t>
    </r>
    <r>
      <rPr>
        <vertAlign val="subscript"/>
        <sz val="10"/>
        <rFont val="Times New Roman"/>
        <family val="1"/>
        <charset val="186"/>
      </rPr>
      <t>PDL</t>
    </r>
    <r>
      <rPr>
        <sz val="10"/>
        <rFont val="Times New Roman"/>
        <family val="1"/>
        <charset val="186"/>
      </rPr>
      <t xml:space="preserve"> – planuojama pervesti dalyvio lėšomis mokamų įmokų suma į pensijų fondus 2027 metais (358726,0 tūkst. Eur);</t>
    </r>
  </si>
  <si>
    <r>
      <t>VS</t>
    </r>
    <r>
      <rPr>
        <vertAlign val="subscript"/>
        <sz val="10"/>
        <rFont val="Times New Roman"/>
        <family val="1"/>
        <charset val="186"/>
      </rPr>
      <t>PVB</t>
    </r>
    <r>
      <rPr>
        <sz val="10"/>
        <rFont val="Times New Roman"/>
        <family val="1"/>
        <charset val="186"/>
      </rPr>
      <t>- veiklos sąnaudos, patiriamos pervedant iš valstybės biudžeto už pensijų kaupimo dalyvį mokamas įmokas į pensijų fondus 2027 m. (tūkst. Eur).</t>
    </r>
  </si>
  <si>
    <r>
      <t>Veiklos sąnaudų, patiriamų pervedant iš valstybės biudžeto už pensijų kaupimo dalyvį mokamas įmokas į pensijų fondus, kompensavimo procentinis dydis (T</t>
    </r>
    <r>
      <rPr>
        <vertAlign val="subscript"/>
        <sz val="10"/>
        <rFont val="Times New Roman"/>
        <family val="1"/>
        <charset val="186"/>
      </rPr>
      <t>PVB</t>
    </r>
    <r>
      <rPr>
        <sz val="10"/>
        <rFont val="Times New Roman"/>
        <family val="1"/>
        <charset val="186"/>
      </rPr>
      <t>) 2027 m.:</t>
    </r>
  </si>
  <si>
    <r>
      <t>T</t>
    </r>
    <r>
      <rPr>
        <vertAlign val="subscript"/>
        <sz val="10"/>
        <rFont val="Times New Roman"/>
        <family val="1"/>
        <charset val="186"/>
      </rPr>
      <t>PVB</t>
    </r>
    <r>
      <rPr>
        <sz val="10"/>
        <rFont val="Times New Roman"/>
        <family val="1"/>
        <charset val="186"/>
      </rPr>
      <t xml:space="preserve"> - procentinis dydis, Fondo administravimo įstaigų veiklos sąnaudų kompensavimui už iš valstybės biudžeto už pensijų kaupimo dalyvį mokamų įmokų į pensijų fondus administravimą (proc.).</t>
    </r>
  </si>
  <si>
    <r>
      <t>- bendroji pensijų dalis</t>
    </r>
    <r>
      <rPr>
        <i/>
        <sz val="11"/>
        <rFont val="Times New Roman"/>
        <family val="1"/>
        <charset val="186"/>
      </rPr>
      <t xml:space="preserve"> </t>
    </r>
  </si>
  <si>
    <r>
      <t>1.</t>
    </r>
    <r>
      <rPr>
        <sz val="7"/>
        <rFont val="Times New Roman"/>
        <family val="1"/>
        <charset val="186"/>
      </rPr>
      <t>   </t>
    </r>
    <r>
      <rPr>
        <sz val="12"/>
        <rFont val="Times New Roman"/>
        <family val="1"/>
        <charset val="186"/>
      </rPr>
      <t>2027 metų indeksavimo koeficientas (toliau - IK) apskaičiuojamas pagal formulę IK</t>
    </r>
    <r>
      <rPr>
        <vertAlign val="subscript"/>
        <sz val="12"/>
        <rFont val="Times New Roman"/>
        <family val="1"/>
        <charset val="186"/>
      </rPr>
      <t>2027</t>
    </r>
    <r>
      <rPr>
        <sz val="12"/>
        <rFont val="Times New Roman"/>
        <family val="1"/>
        <charset val="186"/>
      </rPr>
      <t>=1+λ</t>
    </r>
    <r>
      <rPr>
        <vertAlign val="subscript"/>
        <sz val="12"/>
        <rFont val="Times New Roman"/>
        <family val="1"/>
        <charset val="186"/>
      </rPr>
      <t xml:space="preserve">2027, </t>
    </r>
    <r>
      <rPr>
        <sz val="12"/>
        <rFont val="Times New Roman"/>
        <family val="1"/>
        <charset val="186"/>
      </rPr>
      <t>kur</t>
    </r>
    <r>
      <rPr>
        <vertAlign val="subscript"/>
        <sz val="12"/>
        <rFont val="Times New Roman"/>
        <family val="1"/>
        <charset val="186"/>
      </rPr>
      <t xml:space="preserve"> </t>
    </r>
    <r>
      <rPr>
        <sz val="12"/>
        <rFont val="Times New Roman"/>
        <family val="1"/>
        <charset val="186"/>
      </rPr>
      <t xml:space="preserve"> λ</t>
    </r>
    <r>
      <rPr>
        <vertAlign val="subscript"/>
        <sz val="12"/>
        <rFont val="Times New Roman"/>
        <family val="1"/>
        <charset val="186"/>
      </rPr>
      <t>2027</t>
    </r>
    <r>
      <rPr>
        <sz val="12"/>
        <rFont val="Times New Roman"/>
        <family val="1"/>
        <charset val="186"/>
      </rPr>
      <t xml:space="preserve"> yra 7 metų darbo užmokesčio fondo pokyčių vidurkis apskaičiuojamas pagal formulę :</t>
    </r>
  </si>
  <si>
    <r>
      <t>DUF</t>
    </r>
    <r>
      <rPr>
        <vertAlign val="subscript"/>
        <sz val="12"/>
        <rFont val="Times New Roman"/>
        <family val="1"/>
        <charset val="186"/>
      </rPr>
      <t xml:space="preserve">2023 </t>
    </r>
    <r>
      <rPr>
        <sz val="12"/>
        <rFont val="Times New Roman"/>
        <family val="1"/>
        <charset val="186"/>
      </rPr>
      <t>/ DUF</t>
    </r>
    <r>
      <rPr>
        <vertAlign val="subscript"/>
        <sz val="12"/>
        <rFont val="Times New Roman"/>
        <family val="1"/>
        <charset val="186"/>
      </rPr>
      <t>2022</t>
    </r>
    <r>
      <rPr>
        <sz val="12"/>
        <rFont val="Times New Roman"/>
        <family val="1"/>
        <charset val="186"/>
      </rPr>
      <t>-1 = 0,1344;</t>
    </r>
  </si>
  <si>
    <r>
      <t>DUF</t>
    </r>
    <r>
      <rPr>
        <vertAlign val="subscript"/>
        <sz val="12"/>
        <rFont val="Times New Roman"/>
        <family val="1"/>
        <charset val="186"/>
      </rPr>
      <t xml:space="preserve">2024 </t>
    </r>
    <r>
      <rPr>
        <sz val="12"/>
        <rFont val="Times New Roman"/>
        <family val="1"/>
        <charset val="186"/>
      </rPr>
      <t>/ DUF</t>
    </r>
    <r>
      <rPr>
        <vertAlign val="subscript"/>
        <sz val="12"/>
        <rFont val="Times New Roman"/>
        <family val="1"/>
        <charset val="186"/>
      </rPr>
      <t>2023</t>
    </r>
    <r>
      <rPr>
        <sz val="12"/>
        <rFont val="Times New Roman"/>
        <family val="1"/>
        <charset val="186"/>
      </rPr>
      <t>-1 = 0,1181;</t>
    </r>
  </si>
  <si>
    <r>
      <t>DUF</t>
    </r>
    <r>
      <rPr>
        <vertAlign val="subscript"/>
        <sz val="12"/>
        <rFont val="Times New Roman"/>
        <family val="1"/>
        <charset val="186"/>
      </rPr>
      <t xml:space="preserve">2025 </t>
    </r>
    <r>
      <rPr>
        <sz val="12"/>
        <rFont val="Times New Roman"/>
        <family val="1"/>
        <charset val="186"/>
      </rPr>
      <t>/ DUF</t>
    </r>
    <r>
      <rPr>
        <vertAlign val="subscript"/>
        <sz val="12"/>
        <rFont val="Times New Roman"/>
        <family val="1"/>
        <charset val="186"/>
      </rPr>
      <t>2024</t>
    </r>
    <r>
      <rPr>
        <sz val="12"/>
        <rFont val="Times New Roman"/>
        <family val="1"/>
        <charset val="186"/>
      </rPr>
      <t>-1 = 0,0956;</t>
    </r>
  </si>
  <si>
    <r>
      <t>DUF</t>
    </r>
    <r>
      <rPr>
        <vertAlign val="subscript"/>
        <sz val="12"/>
        <rFont val="Times New Roman"/>
        <family val="1"/>
        <charset val="186"/>
      </rPr>
      <t xml:space="preserve">2026 </t>
    </r>
    <r>
      <rPr>
        <sz val="12"/>
        <rFont val="Times New Roman"/>
        <family val="1"/>
        <charset val="186"/>
      </rPr>
      <t>/ DUF</t>
    </r>
    <r>
      <rPr>
        <vertAlign val="subscript"/>
        <sz val="12"/>
        <rFont val="Times New Roman"/>
        <family val="1"/>
        <charset val="186"/>
      </rPr>
      <t>2025</t>
    </r>
    <r>
      <rPr>
        <sz val="12"/>
        <rFont val="Times New Roman"/>
        <family val="1"/>
        <charset val="186"/>
      </rPr>
      <t>-1 = 0,0942;</t>
    </r>
  </si>
  <si>
    <r>
      <t>DUF</t>
    </r>
    <r>
      <rPr>
        <vertAlign val="subscript"/>
        <sz val="12"/>
        <rFont val="Times New Roman"/>
        <family val="1"/>
        <charset val="186"/>
      </rPr>
      <t xml:space="preserve">2027 </t>
    </r>
    <r>
      <rPr>
        <sz val="12"/>
        <rFont val="Times New Roman"/>
        <family val="1"/>
        <charset val="186"/>
      </rPr>
      <t>/ DUF</t>
    </r>
    <r>
      <rPr>
        <vertAlign val="subscript"/>
        <sz val="12"/>
        <rFont val="Times New Roman"/>
        <family val="1"/>
        <charset val="186"/>
      </rPr>
      <t>2026</t>
    </r>
    <r>
      <rPr>
        <sz val="12"/>
        <rFont val="Times New Roman"/>
        <family val="1"/>
        <charset val="186"/>
      </rPr>
      <t>-1 = 0,0703;</t>
    </r>
  </si>
  <si>
    <r>
      <t>DUF</t>
    </r>
    <r>
      <rPr>
        <vertAlign val="subscript"/>
        <sz val="12"/>
        <rFont val="Times New Roman"/>
        <family val="1"/>
        <charset val="186"/>
      </rPr>
      <t xml:space="preserve">2028 </t>
    </r>
    <r>
      <rPr>
        <sz val="12"/>
        <rFont val="Times New Roman"/>
        <family val="1"/>
        <charset val="186"/>
      </rPr>
      <t>/ DUF</t>
    </r>
    <r>
      <rPr>
        <vertAlign val="subscript"/>
        <sz val="12"/>
        <rFont val="Times New Roman"/>
        <family val="1"/>
        <charset val="186"/>
      </rPr>
      <t>2027</t>
    </r>
    <r>
      <rPr>
        <sz val="12"/>
        <rFont val="Times New Roman"/>
        <family val="1"/>
        <charset val="186"/>
      </rPr>
      <t>-1 = 0,0639.</t>
    </r>
  </si>
  <si>
    <r>
      <t>DUF</t>
    </r>
    <r>
      <rPr>
        <vertAlign val="subscript"/>
        <sz val="12"/>
        <rFont val="Times New Roman"/>
        <family val="1"/>
        <charset val="186"/>
      </rPr>
      <t xml:space="preserve">2029 </t>
    </r>
    <r>
      <rPr>
        <sz val="12"/>
        <rFont val="Times New Roman"/>
        <family val="1"/>
        <charset val="186"/>
      </rPr>
      <t>/ DUF</t>
    </r>
    <r>
      <rPr>
        <vertAlign val="subscript"/>
        <sz val="12"/>
        <rFont val="Times New Roman"/>
        <family val="1"/>
        <charset val="186"/>
      </rPr>
      <t>2028</t>
    </r>
    <r>
      <rPr>
        <sz val="12"/>
        <rFont val="Times New Roman"/>
        <family val="1"/>
        <charset val="186"/>
      </rPr>
      <t>-1 = 0,0588.</t>
    </r>
  </si>
  <si>
    <r>
      <t>λ</t>
    </r>
    <r>
      <rPr>
        <b/>
        <vertAlign val="subscript"/>
        <sz val="14"/>
        <rFont val="Times New Roman"/>
        <family val="1"/>
        <charset val="186"/>
      </rPr>
      <t xml:space="preserve">2027 </t>
    </r>
    <r>
      <rPr>
        <sz val="14"/>
        <rFont val="Times New Roman"/>
        <family val="1"/>
        <charset val="186"/>
      </rPr>
      <t>=</t>
    </r>
  </si>
  <si>
    <r>
      <t xml:space="preserve">2027 metų pensijų indeksavimo koeficientas </t>
    </r>
    <r>
      <rPr>
        <b/>
        <sz val="12"/>
        <rFont val="Times New Roman"/>
        <family val="1"/>
        <charset val="186"/>
      </rPr>
      <t>IK</t>
    </r>
    <r>
      <rPr>
        <b/>
        <vertAlign val="subscript"/>
        <sz val="12"/>
        <rFont val="Times New Roman"/>
        <family val="1"/>
        <charset val="186"/>
      </rPr>
      <t>2027</t>
    </r>
    <r>
      <rPr>
        <sz val="12"/>
        <rFont val="Times New Roman"/>
        <family val="1"/>
        <charset val="186"/>
      </rPr>
      <t>=1+λ</t>
    </r>
    <r>
      <rPr>
        <vertAlign val="subscript"/>
        <sz val="12"/>
        <rFont val="Times New Roman"/>
        <family val="1"/>
        <charset val="186"/>
      </rPr>
      <t>2027</t>
    </r>
    <r>
      <rPr>
        <sz val="12"/>
        <rFont val="Times New Roman"/>
        <family val="1"/>
        <charset val="186"/>
      </rPr>
      <t>=1+0,0908=</t>
    </r>
    <r>
      <rPr>
        <b/>
        <sz val="12"/>
        <rFont val="Times New Roman"/>
        <family val="1"/>
        <charset val="186"/>
      </rPr>
      <t>1,0908</t>
    </r>
    <r>
      <rPr>
        <sz val="12"/>
        <rFont val="Times New Roman"/>
        <family val="1"/>
        <charset val="186"/>
      </rPr>
      <t>.</t>
    </r>
  </si>
  <si>
    <r>
      <t xml:space="preserve">2.   Apskaičiuojamos prognozuojamų </t>
    </r>
    <r>
      <rPr>
        <b/>
        <sz val="12"/>
        <rFont val="Times New Roman"/>
        <family val="1"/>
        <charset val="186"/>
      </rPr>
      <t xml:space="preserve">2027 metų </t>
    </r>
    <r>
      <rPr>
        <sz val="12"/>
        <rFont val="Times New Roman"/>
        <family val="1"/>
        <charset val="186"/>
      </rPr>
      <t>pensijų socialinio draudimo rūšies įplaukos,</t>
    </r>
  </si>
  <si>
    <r>
      <t xml:space="preserve">3. Apskaičiuojamos prognozuojamų </t>
    </r>
    <r>
      <rPr>
        <b/>
        <sz val="12"/>
        <rFont val="Times New Roman"/>
        <family val="1"/>
        <charset val="186"/>
      </rPr>
      <t>2028 metų</t>
    </r>
    <r>
      <rPr>
        <sz val="12"/>
        <rFont val="Times New Roman"/>
        <family val="1"/>
        <charset val="186"/>
      </rPr>
      <t xml:space="preserve"> pensijų socialinio draudimo rūšies įplaukos, išlaidos ir rezultatas, kai 2028 metais indeksacija nevykdoma:</t>
    </r>
  </si>
  <si>
    <r>
      <t>pensijos indeksavimo koeficientas</t>
    </r>
    <r>
      <rPr>
        <b/>
        <vertAlign val="subscript"/>
        <sz val="12"/>
        <rFont val="Times New Roman"/>
        <family val="1"/>
        <charset val="186"/>
      </rPr>
      <t xml:space="preserve"> </t>
    </r>
    <r>
      <rPr>
        <sz val="12"/>
        <rFont val="Times New Roman"/>
        <family val="1"/>
        <charset val="186"/>
      </rPr>
      <t>– 1,0908;</t>
    </r>
  </si>
  <si>
    <t>pensijų draudimo rūšies įplaukos:   8 232 478 tūkst. Eur</t>
  </si>
  <si>
    <t>pensijų draudimo rūšies išlaidos:    7 870 270 tūkst. Eur</t>
  </si>
  <si>
    <r>
      <t>rezultatas (</t>
    </r>
    <r>
      <rPr>
        <i/>
        <sz val="12"/>
        <rFont val="Times New Roman"/>
        <family val="1"/>
        <charset val="186"/>
      </rPr>
      <t>įplaukos- išlaidos</t>
    </r>
    <r>
      <rPr>
        <sz val="12"/>
        <rFont val="Times New Roman"/>
        <family val="1"/>
        <charset val="186"/>
      </rPr>
      <t>):         362 208 tūkst. Eur</t>
    </r>
  </si>
  <si>
    <t>pensijų draudimo rūšies išlaidos:    8 015 007 tūkst. Eur</t>
  </si>
  <si>
    <r>
      <t>rezultatas (</t>
    </r>
    <r>
      <rPr>
        <i/>
        <sz val="12"/>
        <rFont val="Times New Roman"/>
        <family val="1"/>
        <charset val="186"/>
      </rPr>
      <t>įplaukos- išlaidos</t>
    </r>
    <r>
      <rPr>
        <sz val="12"/>
        <rFont val="Times New Roman"/>
        <family val="1"/>
        <charset val="186"/>
      </rPr>
      <t>):         523 301 tūkst. Eur</t>
    </r>
  </si>
  <si>
    <t>Įvertinus papildomam individualiosios pensijos dalies indeksavimui skiriamus 70,5 mln. Eur, 2027 m.  individualiosios socialinio draudimo pensijos dalies papildomas pensijų indeksavimo koeficientas – 1,0204.</t>
  </si>
  <si>
    <t>išlaidos ir rezultatas vykdant pensijų indeksavimą, kai pensijų indeksavimo koeficientas  – 1,0908 ir individualiosios socialinio draudimo pensijos dalies papildomas indeksavimo koeficientas  – 1,0204:</t>
  </si>
  <si>
    <r>
      <t xml:space="preserve">Kadangi 2027 - 2028 metų pensijų socialinio draudimo rūšies rezultatai teigiami, tai 2027 metų apskaičiuotas </t>
    </r>
    <r>
      <rPr>
        <b/>
        <sz val="12"/>
        <rFont val="Times New Roman"/>
        <family val="1"/>
        <charset val="186"/>
      </rPr>
      <t xml:space="preserve">pensijų </t>
    </r>
    <r>
      <rPr>
        <sz val="12"/>
        <rFont val="Times New Roman"/>
        <family val="1"/>
        <charset val="186"/>
      </rPr>
      <t xml:space="preserve">indeksavimo koeficientas  </t>
    </r>
    <r>
      <rPr>
        <b/>
        <sz val="12"/>
        <rFont val="Times New Roman"/>
        <family val="1"/>
        <charset val="186"/>
      </rPr>
      <t xml:space="preserve">1,0908 ir individualiosios socialinio draudimo pensijos dalies papildomas </t>
    </r>
    <r>
      <rPr>
        <sz val="12"/>
        <rFont val="Times New Roman"/>
        <family val="1"/>
        <charset val="186"/>
      </rPr>
      <t xml:space="preserve">indeksavimo koeficientas  </t>
    </r>
    <r>
      <rPr>
        <b/>
        <sz val="12"/>
        <rFont val="Times New Roman"/>
        <family val="1"/>
        <charset val="186"/>
      </rPr>
      <t>1,0204 yra taikomi.</t>
    </r>
  </si>
  <si>
    <r>
      <t>2027 m. individualiosios socialinio draudimo pensijos dalies papildomas indeksavimo koeficientas</t>
    </r>
    <r>
      <rPr>
        <b/>
        <vertAlign val="subscript"/>
        <sz val="12"/>
        <rFont val="Times New Roman"/>
        <family val="1"/>
        <charset val="186"/>
      </rPr>
      <t xml:space="preserve"> </t>
    </r>
    <r>
      <rPr>
        <sz val="12"/>
        <rFont val="Times New Roman"/>
        <family val="1"/>
        <charset val="186"/>
      </rPr>
      <t>– 1,0204;</t>
    </r>
  </si>
  <si>
    <t>8,85 × 1,0204 = 9,03.</t>
  </si>
  <si>
    <t>2027 metų pensijų apskaitos vieneto vertės dydis – 9,03 euro.</t>
  </si>
  <si>
    <t>Veiklos sąnaudos, patiriamos surenkant ir pervedant įmokas į Garantinį fondą 2026 m.:</t>
  </si>
  <si>
    <t>Veiklos sąnaudos, patiriamos surenkant ir pervedant įmokas į Ilgalaikio darbo išmokų fondą 2026 m.:</t>
  </si>
  <si>
    <t>Veiklos sąnaudos, patiriamos surenkant ir pervedant dalyvio lėšomis mokamas įmokas į pensijų fondus 2026 m.:</t>
  </si>
  <si>
    <r>
      <t>T</t>
    </r>
    <r>
      <rPr>
        <vertAlign val="subscript"/>
        <sz val="12"/>
        <rFont val="Times New Roman"/>
        <family val="1"/>
        <charset val="186"/>
      </rPr>
      <t>sveikat.</t>
    </r>
    <r>
      <rPr>
        <sz val="12"/>
        <rFont val="Times New Roman"/>
        <family val="1"/>
        <charset val="186"/>
      </rPr>
      <t xml:space="preserve"> = 4220/3238441 × 100 =</t>
    </r>
    <r>
      <rPr>
        <b/>
        <sz val="12"/>
        <rFont val="Times New Roman"/>
        <family val="1"/>
        <charset val="186"/>
      </rPr>
      <t xml:space="preserve"> 0,13 proc. </t>
    </r>
  </si>
  <si>
    <r>
      <t xml:space="preserve">SUM </t>
    </r>
    <r>
      <rPr>
        <vertAlign val="subscript"/>
        <sz val="10"/>
        <rFont val="Times New Roman"/>
        <family val="1"/>
        <charset val="186"/>
      </rPr>
      <t>sveikat.</t>
    </r>
    <r>
      <rPr>
        <sz val="10"/>
        <rFont val="Times New Roman"/>
        <family val="1"/>
        <charset val="186"/>
      </rPr>
      <t xml:space="preserve"> – planuojamos sveikatos draudimo įmokos į Privalomąjį sveikatos draudimo fondą 2026 metais      (3 238 441  tūkst. Eur);</t>
    </r>
  </si>
  <si>
    <r>
      <t>VS</t>
    </r>
    <r>
      <rPr>
        <vertAlign val="subscript"/>
        <sz val="12"/>
        <rFont val="Times New Roman"/>
        <family val="1"/>
        <charset val="186"/>
      </rPr>
      <t xml:space="preserve">PVB </t>
    </r>
    <r>
      <rPr>
        <sz val="12"/>
        <rFont val="Times New Roman"/>
        <family val="1"/>
        <charset val="186"/>
      </rPr>
      <t xml:space="preserve">= 44,42 × 2,4 = 107,0 tūkst. Eur </t>
    </r>
  </si>
  <si>
    <r>
      <t>PSK</t>
    </r>
    <r>
      <rPr>
        <vertAlign val="subscript"/>
        <sz val="10"/>
        <rFont val="Times New Roman"/>
        <family val="1"/>
        <charset val="186"/>
      </rPr>
      <t>PVB</t>
    </r>
    <r>
      <rPr>
        <sz val="10"/>
        <rFont val="Times New Roman"/>
        <family val="1"/>
        <charset val="186"/>
      </rPr>
      <t xml:space="preserve"> – planuojamas pareigybių, susijusių su iš valstybės biudžeto už pensijų kaupimo dalyvį mokamų įmokų pervedimu į pensijų fondus, skaičius 2027 m. (2,4 pareigybės)</t>
    </r>
  </si>
  <si>
    <r>
      <t>T</t>
    </r>
    <r>
      <rPr>
        <vertAlign val="subscript"/>
        <sz val="12"/>
        <rFont val="Times New Roman"/>
        <family val="1"/>
        <charset val="186"/>
      </rPr>
      <t>PVB</t>
    </r>
    <r>
      <rPr>
        <sz val="12"/>
        <rFont val="Times New Roman"/>
        <family val="1"/>
        <charset val="186"/>
      </rPr>
      <t xml:space="preserve"> = 107/115737  × 100 = </t>
    </r>
    <r>
      <rPr>
        <b/>
        <sz val="12"/>
        <rFont val="Times New Roman"/>
        <family val="1"/>
        <charset val="186"/>
      </rPr>
      <t xml:space="preserve">0,09  proc. </t>
    </r>
  </si>
  <si>
    <r>
      <t>VS</t>
    </r>
    <r>
      <rPr>
        <vertAlign val="subscript"/>
        <sz val="10"/>
        <rFont val="Times New Roman"/>
        <family val="1"/>
        <charset val="186"/>
      </rPr>
      <t>PVB</t>
    </r>
    <r>
      <rPr>
        <sz val="10"/>
        <rFont val="Times New Roman"/>
        <family val="1"/>
        <charset val="186"/>
      </rPr>
      <t>- veiklos sąnaudos, susijusios su iš valstybės biudžeto už pensijų kaupimo dalyvį mokamų įmokų administravimu 2027 m. (107,0 tūkst. Eur).</t>
    </r>
  </si>
  <si>
    <r>
      <t xml:space="preserve">SUM </t>
    </r>
    <r>
      <rPr>
        <vertAlign val="subscript"/>
        <sz val="10"/>
        <rFont val="Times New Roman"/>
        <family val="1"/>
        <charset val="186"/>
      </rPr>
      <t>PVB</t>
    </r>
    <r>
      <rPr>
        <sz val="10"/>
        <rFont val="Times New Roman"/>
        <family val="1"/>
        <charset val="186"/>
      </rPr>
      <t xml:space="preserve"> – planuojama pervesti iš valstybės biudžeto už pensijų kaupimo dalyvį mokamų įmokų suma į pensijų fondus 2027 metais (115737 tūkst. Eur);</t>
    </r>
  </si>
  <si>
    <t>PAJAMŲ SMAIČIAVIMAI</t>
  </si>
  <si>
    <t>1.1.1. Draudėjų   socialinio draudimo įmokos</t>
  </si>
  <si>
    <t>1.1.2. Apdraustųjų   socialinio draudimo įmokos</t>
  </si>
  <si>
    <t xml:space="preserve">   1.2.Įmokos  ligos  socialiniam draudimui</t>
  </si>
  <si>
    <t>1.2.1. Draudėjų   socialinio draudimo įmokos</t>
  </si>
  <si>
    <t>1.2.2.Apdraustųjų   socialinio draudimo įmokos</t>
  </si>
  <si>
    <t>1.2.3. Savarankiškai dirbančių   socialinio draudimo įmokos</t>
  </si>
  <si>
    <t>1.3.1. Draudėjų   socialinio draudimo įmokos</t>
  </si>
  <si>
    <t>1.3.2. Apdraustųjų   socialinio draudimo įmokos</t>
  </si>
  <si>
    <t>1.3.3. Savarankiškai dirbančių   socialinio draudimo įmokos</t>
  </si>
  <si>
    <t xml:space="preserve">   1.4. Įmokos nedarbo  socialiniam draudimui</t>
  </si>
  <si>
    <t>1.4.1. Draudėjų   socialinio draudimo įmokos</t>
  </si>
  <si>
    <t>1.4.2. Savarankiškai dirbančių   socialinio draudimo įmokos</t>
  </si>
  <si>
    <t xml:space="preserve">   1.2.2.7. Kitos išlaidos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</si>
</sst>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
    <numFmt numFmtId="167" formatCode="#,##0.000"/>
    <numFmt numFmtId="168" formatCode="0.000"/>
  </numFmts>
  <fonts count="107">
    <font>
      <sz val="11"/>
      <color theme="1"/>
      <name val="Calibri"/>
      <family val="2"/>
      <charset val="186"/>
      <scheme val="minor"/>
    </font>
    <font>
      <sz val="10"/>
      <name val="Arial"/>
      <family val="2"/>
      <charset val="186"/>
    </font>
    <font>
      <sz val="10"/>
      <name val="Times New Roman"/>
      <family val="1"/>
      <charset val="186"/>
    </font>
    <font>
      <b/>
      <sz val="9"/>
      <name val="Times New Roman"/>
      <family val="1"/>
      <charset val="186"/>
    </font>
    <font>
      <sz val="10"/>
      <name val="HelveticaLT"/>
      <charset val="186"/>
    </font>
    <font>
      <b/>
      <sz val="10"/>
      <name val="Times New Roman"/>
      <family val="1"/>
      <charset val="186"/>
    </font>
    <font>
      <b/>
      <sz val="12"/>
      <name val="Times New Roman"/>
      <family val="1"/>
      <charset val="186"/>
    </font>
    <font>
      <sz val="9"/>
      <name val="Times New Roman"/>
      <family val="1"/>
      <charset val="186"/>
    </font>
    <font>
      <sz val="11"/>
      <name val="TimesLT"/>
      <family val="1"/>
    </font>
    <font>
      <sz val="11"/>
      <name val="Times New Roman"/>
      <family val="1"/>
      <charset val="186"/>
    </font>
    <font>
      <b/>
      <sz val="11"/>
      <name val="Times New Roman"/>
      <family val="1"/>
      <charset val="186"/>
    </font>
    <font>
      <i/>
      <sz val="9"/>
      <name val="Times New Roman"/>
      <family val="1"/>
      <charset val="186"/>
    </font>
    <font>
      <b/>
      <u/>
      <sz val="12"/>
      <name val="Times New Roman"/>
      <family val="1"/>
      <charset val="186"/>
    </font>
    <font>
      <b/>
      <i/>
      <sz val="10"/>
      <name val="Times New Roman"/>
      <family val="1"/>
      <charset val="186"/>
    </font>
    <font>
      <i/>
      <sz val="10"/>
      <name val="Times New Roman"/>
      <family val="1"/>
      <charset val="186"/>
    </font>
    <font>
      <sz val="8"/>
      <name val="Times New Roman"/>
      <family val="1"/>
      <charset val="186"/>
    </font>
    <font>
      <sz val="10"/>
      <color indexed="8"/>
      <name val="Arial"/>
      <family val="2"/>
    </font>
    <font>
      <sz val="10"/>
      <color indexed="9"/>
      <name val="Arial"/>
      <family val="2"/>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b/>
      <sz val="11"/>
      <color indexed="8"/>
      <name val="Calibri"/>
      <family val="2"/>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sz val="11"/>
      <color indexed="10"/>
      <name val="Calibri"/>
      <family val="2"/>
    </font>
    <font>
      <b/>
      <sz val="8"/>
      <name val="Times New Roman"/>
      <family val="1"/>
      <charset val="186"/>
    </font>
    <font>
      <sz val="12"/>
      <name val="Times New Roman"/>
      <family val="1"/>
      <charset val="186"/>
    </font>
    <font>
      <sz val="10"/>
      <name val="Arial"/>
      <family val="2"/>
      <charset val="186"/>
    </font>
    <font>
      <sz val="10"/>
      <name val="TimesLT"/>
      <family val="1"/>
    </font>
    <font>
      <b/>
      <i/>
      <u/>
      <sz val="16"/>
      <name val="Times New Roman"/>
      <family val="1"/>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sz val="10"/>
      <color rgb="FF0070C0"/>
      <name val="Times New Roman"/>
      <family val="1"/>
      <charset val="186"/>
    </font>
    <font>
      <sz val="12"/>
      <color rgb="FF0070C0"/>
      <name val="Times New Roman"/>
      <family val="1"/>
      <charset val="186"/>
    </font>
    <font>
      <sz val="10"/>
      <name val="Arial"/>
      <family val="2"/>
      <charset val="186"/>
    </font>
    <font>
      <b/>
      <sz val="11"/>
      <name val="Arial"/>
      <family val="2"/>
      <charset val="186"/>
    </font>
    <font>
      <b/>
      <u/>
      <sz val="11"/>
      <name val="Times New Roman"/>
      <family val="1"/>
      <charset val="186"/>
    </font>
    <font>
      <b/>
      <u/>
      <sz val="10"/>
      <name val="Times New Roman"/>
      <family val="1"/>
      <charset val="186"/>
    </font>
    <font>
      <b/>
      <i/>
      <sz val="9"/>
      <name val="Times New Roman"/>
      <family val="1"/>
      <charset val="186"/>
    </font>
    <font>
      <sz val="11"/>
      <name val="Calibri"/>
      <family val="2"/>
      <charset val="186"/>
      <scheme val="minor"/>
    </font>
    <font>
      <sz val="10"/>
      <name val="Arial"/>
      <family val="2"/>
      <charset val="186"/>
    </font>
    <font>
      <b/>
      <sz val="11"/>
      <color theme="1"/>
      <name val="Times New Roman"/>
      <family val="1"/>
      <charset val="186"/>
    </font>
    <font>
      <b/>
      <sz val="12"/>
      <color rgb="FF0070C0"/>
      <name val="Times New Roman"/>
      <family val="1"/>
      <charset val="186"/>
    </font>
    <font>
      <b/>
      <sz val="10"/>
      <color rgb="FF0070C0"/>
      <name val="Times New Roman"/>
      <family val="1"/>
      <charset val="186"/>
    </font>
    <font>
      <sz val="11"/>
      <color rgb="FF0070C0"/>
      <name val="Calibri"/>
      <family val="2"/>
      <charset val="186"/>
      <scheme val="minor"/>
    </font>
    <font>
      <sz val="10"/>
      <name val="Arial"/>
      <family val="2"/>
      <charset val="186"/>
    </font>
    <font>
      <sz val="10"/>
      <name val="Arial"/>
      <family val="2"/>
      <charset val="186"/>
    </font>
    <font>
      <sz val="6"/>
      <name val="Times New Roman"/>
      <family val="1"/>
      <charset val="186"/>
    </font>
    <font>
      <sz val="10"/>
      <name val="Arial"/>
      <family val="2"/>
      <charset val="186"/>
    </font>
    <font>
      <b/>
      <u/>
      <sz val="14"/>
      <color rgb="FF0070C0"/>
      <name val="TimesLT"/>
      <family val="1"/>
      <charset val="186"/>
    </font>
    <font>
      <sz val="12"/>
      <color theme="3"/>
      <name val="Times New Roman"/>
      <family val="1"/>
      <charset val="186"/>
    </font>
    <font>
      <sz val="10"/>
      <color theme="1"/>
      <name val="Times New Roman"/>
      <family val="1"/>
      <charset val="186"/>
    </font>
    <font>
      <b/>
      <sz val="10"/>
      <color theme="1"/>
      <name val="Times New Roman"/>
      <family val="1"/>
      <charset val="186"/>
    </font>
    <font>
      <b/>
      <u/>
      <sz val="14"/>
      <color theme="1"/>
      <name val="TimesLT"/>
      <family val="1"/>
      <charset val="186"/>
    </font>
    <font>
      <b/>
      <sz val="12"/>
      <color theme="1"/>
      <name val="Times New Roman"/>
      <family val="1"/>
      <charset val="186"/>
    </font>
    <font>
      <sz val="11"/>
      <color theme="1"/>
      <name val="Times New Roman"/>
      <family val="1"/>
      <charset val="186"/>
    </font>
    <font>
      <sz val="12"/>
      <color theme="1"/>
      <name val="Times New Roman"/>
      <family val="1"/>
      <charset val="186"/>
    </font>
    <font>
      <u/>
      <sz val="10"/>
      <name val="Times New Roman"/>
      <family val="1"/>
      <charset val="186"/>
    </font>
    <font>
      <sz val="11"/>
      <color rgb="FFFF0000"/>
      <name val="Calibri"/>
      <family val="2"/>
      <charset val="186"/>
      <scheme val="minor"/>
    </font>
    <font>
      <sz val="10"/>
      <name val="Arial"/>
      <family val="2"/>
      <charset val="186"/>
    </font>
    <font>
      <b/>
      <u/>
      <sz val="14"/>
      <name val="TimesLT"/>
      <family val="1"/>
    </font>
    <font>
      <vertAlign val="subscript"/>
      <sz val="12"/>
      <name val="Times New Roman"/>
      <family val="1"/>
      <charset val="186"/>
    </font>
    <font>
      <vertAlign val="subscript"/>
      <sz val="10"/>
      <name val="Times New Roman"/>
      <family val="1"/>
      <charset val="186"/>
    </font>
    <font>
      <sz val="10"/>
      <name val="Times New (W1)"/>
      <family val="1"/>
    </font>
    <font>
      <vertAlign val="subscript"/>
      <sz val="10"/>
      <name val="Times New (W1)"/>
      <family val="1"/>
    </font>
    <font>
      <i/>
      <sz val="11"/>
      <name val="Times New Roman"/>
      <family val="1"/>
      <charset val="186"/>
    </font>
    <font>
      <sz val="7"/>
      <name val="Times New Roman"/>
      <family val="1"/>
      <charset val="186"/>
    </font>
    <font>
      <b/>
      <sz val="14"/>
      <name val="Times New Roman"/>
      <family val="1"/>
      <charset val="186"/>
    </font>
    <font>
      <b/>
      <vertAlign val="subscript"/>
      <sz val="14"/>
      <name val="Times New Roman"/>
      <family val="1"/>
      <charset val="186"/>
    </font>
    <font>
      <sz val="14"/>
      <name val="Times New Roman"/>
      <family val="1"/>
      <charset val="186"/>
    </font>
    <font>
      <b/>
      <vertAlign val="subscript"/>
      <sz val="12"/>
      <name val="Times New Roman"/>
      <family val="1"/>
      <charset val="186"/>
    </font>
    <font>
      <u/>
      <sz val="12"/>
      <name val="Times New Roman"/>
      <family val="1"/>
      <charset val="186"/>
    </font>
    <font>
      <i/>
      <sz val="12"/>
      <name val="Times New Roman"/>
      <family val="1"/>
      <charset val="186"/>
    </font>
    <font>
      <b/>
      <u/>
      <sz val="14"/>
      <name val="TimesLT"/>
      <family val="1"/>
      <charset val="186"/>
    </font>
    <font>
      <sz val="10"/>
      <name val="Arial"/>
    </font>
    <font>
      <b/>
      <u/>
      <sz val="9"/>
      <name val="Times New Roman"/>
      <family val="1"/>
      <charset val="186"/>
    </font>
    <font>
      <b/>
      <sz val="9"/>
      <color theme="1"/>
      <name val="Times New Roman"/>
      <family val="1"/>
      <charset val="186"/>
    </font>
    <font>
      <sz val="9"/>
      <name val="Arial"/>
      <family val="2"/>
      <charset val="186"/>
    </font>
  </fonts>
  <fills count="44">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s>
  <cellStyleXfs count="140">
    <xf numFmtId="0" fontId="0" fillId="0" borderId="0"/>
    <xf numFmtId="0" fontId="1" fillId="0" borderId="0"/>
    <xf numFmtId="0" fontId="4" fillId="0" borderId="0"/>
    <xf numFmtId="0" fontId="8" fillId="0" borderId="0"/>
    <xf numFmtId="0" fontId="1" fillId="0" borderId="0"/>
    <xf numFmtId="0" fontId="4" fillId="0" borderId="0"/>
    <xf numFmtId="0" fontId="8"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8" fillId="14" borderId="0" applyNumberFormat="0" applyBorder="0" applyAlignment="0" applyProtection="0"/>
    <xf numFmtId="0" fontId="18" fillId="25" borderId="0" applyNumberFormat="0" applyBorder="0" applyAlignment="0" applyProtection="0"/>
    <xf numFmtId="0" fontId="19" fillId="26" borderId="0" applyNumberFormat="0" applyBorder="0" applyAlignment="0" applyProtection="0"/>
    <xf numFmtId="0" fontId="19" fillId="18" borderId="0" applyNumberFormat="0" applyBorder="0" applyAlignment="0" applyProtection="0"/>
    <xf numFmtId="0" fontId="18" fillId="27" borderId="0" applyNumberFormat="0" applyBorder="0" applyAlignment="0" applyProtection="0"/>
    <xf numFmtId="0" fontId="20" fillId="18" borderId="0" applyNumberFormat="0" applyBorder="0" applyAlignment="0" applyProtection="0"/>
    <xf numFmtId="0" fontId="21" fillId="28" borderId="8" applyNumberFormat="0" applyAlignment="0" applyProtection="0"/>
    <xf numFmtId="0" fontId="22" fillId="19" borderId="9" applyNumberFormat="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4" fillId="0" borderId="0" applyNumberFormat="0" applyFill="0" applyBorder="0" applyAlignment="0" applyProtection="0"/>
    <xf numFmtId="0" fontId="25" fillId="32" borderId="0" applyNumberFormat="0" applyBorder="0" applyAlignment="0" applyProtection="0"/>
    <xf numFmtId="0" fontId="26" fillId="0" borderId="10"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9" fillId="27" borderId="8" applyNumberFormat="0" applyAlignment="0" applyProtection="0"/>
    <xf numFmtId="0" fontId="1" fillId="0" borderId="0"/>
    <xf numFmtId="0" fontId="30" fillId="0" borderId="13" applyNumberFormat="0" applyFill="0" applyAlignment="0" applyProtection="0"/>
    <xf numFmtId="0" fontId="31" fillId="27" borderId="0" applyNumberFormat="0" applyBorder="0" applyAlignment="0" applyProtection="0"/>
    <xf numFmtId="0" fontId="4" fillId="0" borderId="0"/>
    <xf numFmtId="0" fontId="1" fillId="26" borderId="14" applyNumberFormat="0" applyFont="0" applyAlignment="0" applyProtection="0"/>
    <xf numFmtId="0" fontId="32" fillId="28" borderId="15" applyNumberFormat="0" applyAlignment="0" applyProtection="0"/>
    <xf numFmtId="4" fontId="33" fillId="33" borderId="16" applyNumberFormat="0" applyProtection="0">
      <alignment vertical="center"/>
    </xf>
    <xf numFmtId="4" fontId="34" fillId="33" borderId="16" applyNumberFormat="0" applyProtection="0">
      <alignment vertical="center"/>
    </xf>
    <xf numFmtId="4" fontId="33" fillId="33" borderId="16" applyNumberFormat="0" applyProtection="0">
      <alignment horizontal="left" vertical="center" indent="1"/>
    </xf>
    <xf numFmtId="0" fontId="33" fillId="33" borderId="16" applyNumberFormat="0" applyProtection="0">
      <alignment horizontal="left" vertical="top" indent="1"/>
    </xf>
    <xf numFmtId="4" fontId="33" fillId="2" borderId="0" applyNumberFormat="0" applyProtection="0">
      <alignment horizontal="left" vertical="center" indent="1"/>
    </xf>
    <xf numFmtId="4" fontId="16" fillId="7" borderId="16" applyNumberFormat="0" applyProtection="0">
      <alignment horizontal="right" vertical="center"/>
    </xf>
    <xf numFmtId="4" fontId="16" fillId="3" borderId="16" applyNumberFormat="0" applyProtection="0">
      <alignment horizontal="right" vertical="center"/>
    </xf>
    <xf numFmtId="4" fontId="16" fillId="34" borderId="16" applyNumberFormat="0" applyProtection="0">
      <alignment horizontal="right" vertical="center"/>
    </xf>
    <xf numFmtId="4" fontId="16" fillId="35" borderId="16" applyNumberFormat="0" applyProtection="0">
      <alignment horizontal="right" vertical="center"/>
    </xf>
    <xf numFmtId="4" fontId="16" fillId="36" borderId="16" applyNumberFormat="0" applyProtection="0">
      <alignment horizontal="right" vertical="center"/>
    </xf>
    <xf numFmtId="4" fontId="16" fillId="37" borderId="16" applyNumberFormat="0" applyProtection="0">
      <alignment horizontal="right" vertical="center"/>
    </xf>
    <xf numFmtId="4" fontId="16" fillId="9" borderId="16" applyNumberFormat="0" applyProtection="0">
      <alignment horizontal="right" vertical="center"/>
    </xf>
    <xf numFmtId="4" fontId="16" fillId="38" borderId="16" applyNumberFormat="0" applyProtection="0">
      <alignment horizontal="right" vertical="center"/>
    </xf>
    <xf numFmtId="4" fontId="16" fillId="39" borderId="16" applyNumberFormat="0" applyProtection="0">
      <alignment horizontal="right" vertical="center"/>
    </xf>
    <xf numFmtId="4" fontId="33" fillId="40" borderId="17" applyNumberFormat="0" applyProtection="0">
      <alignment horizontal="left" vertical="center" indent="1"/>
    </xf>
    <xf numFmtId="4" fontId="16" fillId="41" borderId="0" applyNumberFormat="0" applyProtection="0">
      <alignment horizontal="left" vertical="center" indent="1"/>
    </xf>
    <xf numFmtId="4" fontId="35" fillId="8" borderId="0" applyNumberFormat="0" applyProtection="0">
      <alignment horizontal="left" vertical="center" indent="1"/>
    </xf>
    <xf numFmtId="4" fontId="16" fillId="2" borderId="16" applyNumberFormat="0" applyProtection="0">
      <alignment horizontal="right" vertical="center"/>
    </xf>
    <xf numFmtId="4" fontId="36" fillId="41" borderId="0" applyNumberFormat="0" applyProtection="0">
      <alignment horizontal="left" vertical="center" indent="1"/>
    </xf>
    <xf numFmtId="4" fontId="36" fillId="2" borderId="0" applyNumberFormat="0" applyProtection="0">
      <alignment horizontal="left" vertical="center" indent="1"/>
    </xf>
    <xf numFmtId="0" fontId="1" fillId="8" borderId="16" applyNumberFormat="0" applyProtection="0">
      <alignment horizontal="left" vertical="center" indent="1"/>
    </xf>
    <xf numFmtId="0" fontId="1" fillId="8" borderId="16" applyNumberFormat="0" applyProtection="0">
      <alignment horizontal="left" vertical="top" indent="1"/>
    </xf>
    <xf numFmtId="0" fontId="1" fillId="2" borderId="16" applyNumberFormat="0" applyProtection="0">
      <alignment horizontal="left" vertical="center" indent="1"/>
    </xf>
    <xf numFmtId="0" fontId="1" fillId="2" borderId="16" applyNumberFormat="0" applyProtection="0">
      <alignment horizontal="left" vertical="top" indent="1"/>
    </xf>
    <xf numFmtId="0" fontId="1" fillId="6" borderId="16" applyNumberFormat="0" applyProtection="0">
      <alignment horizontal="left" vertical="center" indent="1"/>
    </xf>
    <xf numFmtId="0" fontId="1" fillId="6" borderId="16" applyNumberFormat="0" applyProtection="0">
      <alignment horizontal="left" vertical="top" indent="1"/>
    </xf>
    <xf numFmtId="0" fontId="1" fillId="41" borderId="16" applyNumberFormat="0" applyProtection="0">
      <alignment horizontal="left" vertical="center" indent="1"/>
    </xf>
    <xf numFmtId="0" fontId="1" fillId="41" borderId="16" applyNumberFormat="0" applyProtection="0">
      <alignment horizontal="left" vertical="top" indent="1"/>
    </xf>
    <xf numFmtId="0" fontId="1" fillId="5" borderId="18" applyNumberFormat="0">
      <protection locked="0"/>
    </xf>
    <xf numFmtId="4" fontId="16" fillId="4" borderId="16" applyNumberFormat="0" applyProtection="0">
      <alignment vertical="center"/>
    </xf>
    <xf numFmtId="4" fontId="37" fillId="4" borderId="16" applyNumberFormat="0" applyProtection="0">
      <alignment vertical="center"/>
    </xf>
    <xf numFmtId="4" fontId="16" fillId="4" borderId="16" applyNumberFormat="0" applyProtection="0">
      <alignment horizontal="left" vertical="center" indent="1"/>
    </xf>
    <xf numFmtId="0" fontId="16" fillId="4" borderId="16" applyNumberFormat="0" applyProtection="0">
      <alignment horizontal="left" vertical="top" indent="1"/>
    </xf>
    <xf numFmtId="4" fontId="16" fillId="41" borderId="16" applyNumberFormat="0" applyProtection="0">
      <alignment horizontal="right" vertical="center"/>
    </xf>
    <xf numFmtId="4" fontId="37" fillId="41" borderId="16" applyNumberFormat="0" applyProtection="0">
      <alignment horizontal="right" vertical="center"/>
    </xf>
    <xf numFmtId="4" fontId="16" fillId="2" borderId="16" applyNumberFormat="0" applyProtection="0">
      <alignment horizontal="left" vertical="center" indent="1"/>
    </xf>
    <xf numFmtId="0" fontId="16" fillId="2" borderId="16" applyNumberFormat="0" applyProtection="0">
      <alignment horizontal="left" vertical="top" indent="1"/>
    </xf>
    <xf numFmtId="4" fontId="38" fillId="42" borderId="0" applyNumberFormat="0" applyProtection="0">
      <alignment horizontal="left" vertical="center" indent="1"/>
    </xf>
    <xf numFmtId="4" fontId="39" fillId="41" borderId="16" applyNumberFormat="0" applyProtection="0">
      <alignment horizontal="right" vertical="center"/>
    </xf>
    <xf numFmtId="0" fontId="40" fillId="0" borderId="0" applyNumberFormat="0" applyFill="0" applyBorder="0" applyAlignment="0" applyProtection="0"/>
    <xf numFmtId="0" fontId="40" fillId="0" borderId="0" applyNumberFormat="0" applyFill="0" applyBorder="0" applyAlignment="0" applyProtection="0"/>
    <xf numFmtId="0" fontId="23" fillId="0" borderId="19" applyNumberFormat="0" applyFill="0" applyAlignment="0" applyProtection="0"/>
    <xf numFmtId="0" fontId="41" fillId="0" borderId="0" applyNumberFormat="0" applyFill="0" applyBorder="0" applyAlignment="0" applyProtection="0"/>
    <xf numFmtId="0" fontId="1" fillId="0" borderId="0"/>
    <xf numFmtId="0" fontId="1" fillId="0" borderId="0"/>
    <xf numFmtId="0" fontId="44" fillId="0" borderId="0"/>
    <xf numFmtId="0" fontId="45" fillId="0" borderId="0"/>
    <xf numFmtId="0" fontId="4" fillId="0" borderId="0"/>
    <xf numFmtId="0" fontId="1" fillId="0" borderId="0"/>
    <xf numFmtId="0" fontId="4" fillId="0" borderId="0" applyFont="0"/>
    <xf numFmtId="0" fontId="47" fillId="0" borderId="0"/>
    <xf numFmtId="0" fontId="48" fillId="0" borderId="0"/>
    <xf numFmtId="0" fontId="49" fillId="0" borderId="0"/>
    <xf numFmtId="0" fontId="50" fillId="0" borderId="0"/>
    <xf numFmtId="0" fontId="51" fillId="0" borderId="0"/>
    <xf numFmtId="0" fontId="52" fillId="0" borderId="0"/>
    <xf numFmtId="0" fontId="53" fillId="0" borderId="0"/>
    <xf numFmtId="0" fontId="54" fillId="0" borderId="0"/>
    <xf numFmtId="0" fontId="55" fillId="0" borderId="0"/>
    <xf numFmtId="0" fontId="56" fillId="0" borderId="0"/>
    <xf numFmtId="0" fontId="57" fillId="0" borderId="0"/>
    <xf numFmtId="0" fontId="58" fillId="0" borderId="0"/>
    <xf numFmtId="0" fontId="59" fillId="0" borderId="0"/>
    <xf numFmtId="0" fontId="60" fillId="0" borderId="0"/>
    <xf numFmtId="0" fontId="1" fillId="0" borderId="0"/>
    <xf numFmtId="0" fontId="63" fillId="0" borderId="0"/>
    <xf numFmtId="0" fontId="69" fillId="0" borderId="0"/>
    <xf numFmtId="0" fontId="74" fillId="0" borderId="0"/>
    <xf numFmtId="0" fontId="75" fillId="0" borderId="0"/>
    <xf numFmtId="0" fontId="77" fillId="0" borderId="0"/>
    <xf numFmtId="0" fontId="88" fillId="0" borderId="0"/>
    <xf numFmtId="0" fontId="103" fillId="0" borderId="0"/>
  </cellStyleXfs>
  <cellXfs count="607">
    <xf numFmtId="0" fontId="0" fillId="0" borderId="0" xfId="0"/>
    <xf numFmtId="0" fontId="2" fillId="0" borderId="0" xfId="1" applyFont="1" applyFill="1"/>
    <xf numFmtId="4" fontId="5" fillId="0" borderId="0" xfId="2" applyNumberFormat="1" applyFont="1" applyFill="1"/>
    <xf numFmtId="4" fontId="2" fillId="0" borderId="0" xfId="2" applyNumberFormat="1" applyFont="1" applyFill="1"/>
    <xf numFmtId="4" fontId="2" fillId="0" borderId="0" xfId="2" applyNumberFormat="1" applyFont="1" applyFill="1" applyBorder="1"/>
    <xf numFmtId="4" fontId="9" fillId="0" borderId="0" xfId="3" applyNumberFormat="1" applyFont="1" applyFill="1" applyBorder="1" applyAlignment="1">
      <alignment horizontal="center" vertical="center" wrapText="1"/>
    </xf>
    <xf numFmtId="4" fontId="14" fillId="0" borderId="0" xfId="2" applyNumberFormat="1" applyFont="1" applyFill="1"/>
    <xf numFmtId="3" fontId="5" fillId="0" borderId="0" xfId="1" applyNumberFormat="1" applyFont="1" applyFill="1" applyBorder="1" applyAlignment="1">
      <alignment horizontal="right" vertical="center"/>
    </xf>
    <xf numFmtId="4" fontId="2" fillId="0" borderId="0" xfId="2" applyNumberFormat="1" applyFont="1" applyFill="1" applyAlignment="1">
      <alignment horizontal="right" vertical="center"/>
    </xf>
    <xf numFmtId="0" fontId="2" fillId="0" borderId="0" xfId="4" applyFont="1" applyFill="1"/>
    <xf numFmtId="4" fontId="7" fillId="0" borderId="0" xfId="2" applyNumberFormat="1" applyFont="1" applyFill="1"/>
    <xf numFmtId="164" fontId="2" fillId="0" borderId="0" xfId="2" applyNumberFormat="1" applyFont="1" applyFill="1"/>
    <xf numFmtId="3" fontId="2" fillId="0" borderId="0" xfId="2" applyNumberFormat="1" applyFont="1" applyFill="1"/>
    <xf numFmtId="3" fontId="3" fillId="0" borderId="0" xfId="2" applyNumberFormat="1" applyFont="1" applyFill="1" applyProtection="1">
      <protection hidden="1"/>
    </xf>
    <xf numFmtId="3" fontId="5" fillId="0" borderId="0" xfId="2" applyNumberFormat="1" applyFont="1" applyFill="1"/>
    <xf numFmtId="164" fontId="10" fillId="0" borderId="0" xfId="1" applyNumberFormat="1" applyFont="1" applyFill="1" applyBorder="1" applyAlignment="1">
      <alignment horizontal="right" vertical="center"/>
    </xf>
    <xf numFmtId="4" fontId="15" fillId="0" borderId="0" xfId="2" applyNumberFormat="1" applyFont="1" applyFill="1"/>
    <xf numFmtId="0" fontId="5" fillId="0" borderId="0" xfId="1" applyFont="1" applyFill="1"/>
    <xf numFmtId="1" fontId="15" fillId="0" borderId="0" xfId="1" applyNumberFormat="1" applyFont="1" applyFill="1"/>
    <xf numFmtId="1" fontId="2" fillId="0" borderId="0" xfId="1" applyNumberFormat="1" applyFont="1" applyFill="1"/>
    <xf numFmtId="0" fontId="15" fillId="0" borderId="0" xfId="1" applyFont="1" applyFill="1"/>
    <xf numFmtId="0" fontId="42" fillId="0" borderId="0" xfId="1" applyFont="1" applyFill="1"/>
    <xf numFmtId="0" fontId="2" fillId="0" borderId="0" xfId="117" applyFont="1"/>
    <xf numFmtId="0" fontId="2" fillId="0" borderId="0" xfId="117" applyFont="1" applyAlignment="1">
      <alignment vertical="center"/>
    </xf>
    <xf numFmtId="4" fontId="15" fillId="0" borderId="0" xfId="2" applyNumberFormat="1" applyFont="1" applyFill="1" applyAlignment="1">
      <alignment horizontal="center" vertical="top"/>
    </xf>
    <xf numFmtId="0" fontId="15" fillId="0" borderId="0" xfId="4" applyFont="1" applyFill="1" applyAlignment="1">
      <alignment horizontal="center" vertical="top"/>
    </xf>
    <xf numFmtId="3" fontId="2" fillId="0" borderId="0" xfId="1" applyNumberFormat="1" applyFont="1" applyFill="1"/>
    <xf numFmtId="4" fontId="7" fillId="0" borderId="0" xfId="2" applyNumberFormat="1" applyFont="1" applyFill="1" applyBorder="1" applyAlignment="1">
      <alignment horizontal="center" vertical="center" wrapText="1"/>
    </xf>
    <xf numFmtId="4" fontId="10" fillId="0" borderId="0" xfId="3" applyNumberFormat="1" applyFont="1" applyFill="1" applyBorder="1" applyAlignment="1">
      <alignment horizontal="center" vertical="center" wrapText="1"/>
    </xf>
    <xf numFmtId="4" fontId="5" fillId="0" borderId="20" xfId="2" applyNumberFormat="1" applyFont="1" applyFill="1" applyBorder="1"/>
    <xf numFmtId="4" fontId="2" fillId="0" borderId="20" xfId="2" applyNumberFormat="1" applyFont="1" applyFill="1" applyBorder="1"/>
    <xf numFmtId="4" fontId="2" fillId="0" borderId="0" xfId="2" applyNumberFormat="1" applyFont="1" applyFill="1" applyAlignment="1">
      <alignment vertical="center"/>
    </xf>
    <xf numFmtId="0" fontId="2" fillId="0" borderId="0" xfId="4" applyFont="1" applyFill="1" applyAlignment="1">
      <alignment vertical="center"/>
    </xf>
    <xf numFmtId="0" fontId="15" fillId="0" borderId="0" xfId="4" applyFont="1" applyFill="1" applyAlignment="1">
      <alignment horizontal="center" vertical="center"/>
    </xf>
    <xf numFmtId="4" fontId="15" fillId="0" borderId="0" xfId="2" applyNumberFormat="1" applyFont="1" applyFill="1" applyAlignment="1">
      <alignment horizontal="center" vertical="center"/>
    </xf>
    <xf numFmtId="0" fontId="7" fillId="0" borderId="0" xfId="1" applyFont="1" applyFill="1"/>
    <xf numFmtId="4" fontId="7" fillId="0" borderId="0" xfId="2" applyNumberFormat="1" applyFont="1" applyFill="1" applyBorder="1" applyAlignment="1">
      <alignment horizontal="center" vertical="center"/>
    </xf>
    <xf numFmtId="0" fontId="43" fillId="0" borderId="0" xfId="117" applyFont="1" applyFill="1"/>
    <xf numFmtId="4" fontId="2" fillId="0" borderId="0" xfId="1" applyNumberFormat="1" applyFont="1" applyFill="1" applyBorder="1" applyAlignment="1">
      <alignment vertical="center"/>
    </xf>
    <xf numFmtId="4" fontId="7" fillId="0" borderId="0" xfId="2" applyNumberFormat="1" applyFont="1" applyFill="1" applyAlignment="1">
      <alignment vertical="center"/>
    </xf>
    <xf numFmtId="4" fontId="5" fillId="0" borderId="0" xfId="1" applyNumberFormat="1" applyFont="1" applyFill="1" applyBorder="1" applyAlignment="1">
      <alignment vertical="center"/>
    </xf>
    <xf numFmtId="164" fontId="7" fillId="0" borderId="0" xfId="1"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3" fontId="5" fillId="0" borderId="0" xfId="1" applyNumberFormat="1" applyFont="1" applyFill="1"/>
    <xf numFmtId="4" fontId="2" fillId="0" borderId="2" xfId="2" applyNumberFormat="1" applyFont="1" applyFill="1" applyBorder="1"/>
    <xf numFmtId="4" fontId="2" fillId="0" borderId="6" xfId="2" applyNumberFormat="1" applyFont="1" applyFill="1" applyBorder="1"/>
    <xf numFmtId="4" fontId="7" fillId="0" borderId="0" xfId="1" applyNumberFormat="1" applyFont="1" applyFill="1" applyBorder="1"/>
    <xf numFmtId="4" fontId="3" fillId="0" borderId="0" xfId="1" applyNumberFormat="1" applyFont="1" applyFill="1" applyBorder="1"/>
    <xf numFmtId="164" fontId="2" fillId="0" borderId="0" xfId="1" applyNumberFormat="1" applyFont="1" applyFill="1"/>
    <xf numFmtId="4" fontId="2" fillId="0" borderId="0" xfId="1" applyNumberFormat="1" applyFont="1" applyFill="1"/>
    <xf numFmtId="164" fontId="10" fillId="0" borderId="0" xfId="2" applyNumberFormat="1" applyFont="1" applyFill="1"/>
    <xf numFmtId="3" fontId="11" fillId="0" borderId="0" xfId="2" applyNumberFormat="1" applyFont="1" applyFill="1" applyBorder="1" applyAlignment="1">
      <alignment horizontal="center" vertical="center" wrapText="1"/>
    </xf>
    <xf numFmtId="0" fontId="5" fillId="0" borderId="0" xfId="4" applyFont="1" applyFill="1" applyBorder="1" applyAlignment="1">
      <alignment horizontal="right" vertical="center"/>
    </xf>
    <xf numFmtId="4" fontId="13" fillId="0" borderId="0" xfId="2" applyNumberFormat="1" applyFont="1" applyFill="1" applyBorder="1" applyAlignment="1">
      <alignment horizontal="center" vertical="center"/>
    </xf>
    <xf numFmtId="2" fontId="7" fillId="0" borderId="0" xfId="2" applyNumberFormat="1" applyFont="1" applyFill="1" applyProtection="1">
      <protection hidden="1"/>
    </xf>
    <xf numFmtId="4" fontId="7" fillId="0" borderId="0" xfId="2" applyNumberFormat="1" applyFont="1" applyFill="1" applyProtection="1">
      <protection hidden="1"/>
    </xf>
    <xf numFmtId="3" fontId="7" fillId="0" borderId="0" xfId="1" applyNumberFormat="1" applyFont="1" applyFill="1" applyBorder="1" applyAlignment="1">
      <alignment horizontal="right" vertical="center"/>
    </xf>
    <xf numFmtId="3"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center"/>
    </xf>
    <xf numFmtId="3" fontId="5" fillId="0" borderId="0" xfId="2" quotePrefix="1" applyNumberFormat="1" applyFont="1" applyFill="1" applyAlignment="1">
      <alignment horizontal="right" vertical="top"/>
    </xf>
    <xf numFmtId="4" fontId="2" fillId="0" borderId="0" xfId="2" applyNumberFormat="1" applyFont="1" applyFill="1" applyAlignment="1">
      <alignment horizontal="right"/>
    </xf>
    <xf numFmtId="2" fontId="7" fillId="0" borderId="0" xfId="2" applyNumberFormat="1" applyFont="1" applyFill="1" applyBorder="1" applyProtection="1">
      <protection hidden="1"/>
    </xf>
    <xf numFmtId="2" fontId="3" fillId="0" borderId="0" xfId="2" applyNumberFormat="1" applyFont="1" applyFill="1" applyBorder="1" applyProtection="1">
      <protection hidden="1"/>
    </xf>
    <xf numFmtId="2" fontId="3" fillId="0" borderId="0" xfId="2" applyNumberFormat="1" applyFont="1" applyFill="1" applyProtection="1">
      <protection hidden="1"/>
    </xf>
    <xf numFmtId="0" fontId="61" fillId="0" borderId="0" xfId="115" applyFont="1"/>
    <xf numFmtId="0" fontId="61" fillId="0" borderId="0" xfId="115" applyFont="1" applyFill="1" applyAlignment="1">
      <alignment horizontal="center"/>
    </xf>
    <xf numFmtId="0" fontId="61" fillId="0" borderId="0" xfId="115" applyFont="1" applyAlignment="1">
      <alignment wrapText="1"/>
    </xf>
    <xf numFmtId="0" fontId="61" fillId="0" borderId="0" xfId="115" applyFont="1" applyFill="1"/>
    <xf numFmtId="0" fontId="61" fillId="0" borderId="0" xfId="115" applyFont="1" applyFill="1" applyBorder="1" applyAlignment="1">
      <alignment horizontal="center"/>
    </xf>
    <xf numFmtId="0" fontId="61" fillId="0" borderId="0" xfId="115" applyFont="1" applyBorder="1"/>
    <xf numFmtId="0" fontId="61" fillId="0" borderId="0" xfId="116" applyFont="1"/>
    <xf numFmtId="0" fontId="46" fillId="0" borderId="0" xfId="117" applyFont="1" applyFill="1" applyBorder="1"/>
    <xf numFmtId="0" fontId="2" fillId="0" borderId="0" xfId="117" applyFont="1" applyBorder="1"/>
    <xf numFmtId="0" fontId="2" fillId="0" borderId="0" xfId="117" applyFont="1" applyBorder="1" applyAlignment="1">
      <alignment horizontal="right"/>
    </xf>
    <xf numFmtId="3" fontId="1" fillId="0" borderId="0" xfId="111" applyNumberFormat="1" applyFont="1" applyAlignment="1">
      <alignment vertical="top"/>
    </xf>
    <xf numFmtId="3" fontId="64" fillId="0" borderId="0" xfId="111" applyNumberFormat="1" applyFont="1" applyAlignment="1">
      <alignment vertical="top"/>
    </xf>
    <xf numFmtId="3" fontId="5" fillId="0" borderId="0" xfId="117" applyNumberFormat="1" applyFont="1" applyFill="1" applyAlignment="1">
      <alignment vertical="center"/>
    </xf>
    <xf numFmtId="167" fontId="5" fillId="0" borderId="0" xfId="2" applyNumberFormat="1" applyFont="1" applyFill="1"/>
    <xf numFmtId="3" fontId="1" fillId="0" borderId="0" xfId="62" applyNumberFormat="1" applyFont="1"/>
    <xf numFmtId="3" fontId="64" fillId="0" borderId="0" xfId="62" applyNumberFormat="1" applyFont="1" applyAlignment="1">
      <alignment vertical="top"/>
    </xf>
    <xf numFmtId="4" fontId="5" fillId="0" borderId="0" xfId="2" applyNumberFormat="1" applyFont="1" applyFill="1" applyAlignment="1">
      <alignment horizontal="right"/>
    </xf>
    <xf numFmtId="164" fontId="5" fillId="0" borderId="0" xfId="2" applyNumberFormat="1" applyFont="1" applyFill="1"/>
    <xf numFmtId="3" fontId="15" fillId="0" borderId="0" xfId="2" applyNumberFormat="1" applyFont="1" applyFill="1"/>
    <xf numFmtId="3" fontId="42" fillId="0" borderId="0" xfId="2" applyNumberFormat="1" applyFont="1" applyFill="1" applyProtection="1">
      <protection hidden="1"/>
    </xf>
    <xf numFmtId="4" fontId="3" fillId="0" borderId="0" xfId="2" applyNumberFormat="1" applyFont="1" applyFill="1"/>
    <xf numFmtId="4" fontId="2" fillId="0" borderId="0" xfId="2" applyNumberFormat="1" applyFont="1" applyFill="1" applyAlignment="1"/>
    <xf numFmtId="3" fontId="5" fillId="0" borderId="0" xfId="2" applyNumberFormat="1" applyFont="1" applyFill="1" applyProtection="1">
      <protection hidden="1"/>
    </xf>
    <xf numFmtId="1" fontId="7" fillId="0" borderId="0" xfId="2" applyNumberFormat="1" applyFont="1" applyFill="1" applyBorder="1" applyProtection="1">
      <protection hidden="1"/>
    </xf>
    <xf numFmtId="3" fontId="7" fillId="0" borderId="0" xfId="2" applyNumberFormat="1" applyFont="1" applyFill="1" applyBorder="1" applyAlignment="1">
      <alignment horizontal="center" vertical="center" wrapText="1"/>
    </xf>
    <xf numFmtId="3" fontId="10" fillId="0" borderId="0" xfId="3" applyNumberFormat="1" applyFont="1" applyFill="1" applyBorder="1" applyAlignment="1">
      <alignment horizontal="center" vertical="center" wrapText="1"/>
    </xf>
    <xf numFmtId="3" fontId="9" fillId="0" borderId="0" xfId="3" applyNumberFormat="1" applyFont="1" applyFill="1" applyBorder="1" applyAlignment="1">
      <alignment horizontal="center" vertical="center" wrapText="1"/>
    </xf>
    <xf numFmtId="1" fontId="10" fillId="0" borderId="0" xfId="1" applyNumberFormat="1" applyFont="1" applyFill="1"/>
    <xf numFmtId="0" fontId="10" fillId="0" borderId="0" xfId="1" applyFont="1" applyFill="1"/>
    <xf numFmtId="164" fontId="5" fillId="0" borderId="0" xfId="1" applyNumberFormat="1" applyFont="1" applyFill="1"/>
    <xf numFmtId="4" fontId="7" fillId="0" borderId="0" xfId="1" applyNumberFormat="1" applyFont="1" applyFill="1"/>
    <xf numFmtId="0" fontId="3" fillId="0" borderId="0" xfId="1" applyFont="1" applyFill="1"/>
    <xf numFmtId="164" fontId="3" fillId="0" borderId="0" xfId="1" applyNumberFormat="1" applyFont="1" applyFill="1"/>
    <xf numFmtId="0" fontId="2" fillId="0" borderId="0" xfId="1" applyFont="1" applyFill="1" applyBorder="1"/>
    <xf numFmtId="4" fontId="65" fillId="0" borderId="0" xfId="5" applyNumberFormat="1" applyFont="1" applyFill="1" applyBorder="1" applyAlignment="1">
      <alignment vertical="top" wrapText="1"/>
    </xf>
    <xf numFmtId="4" fontId="10" fillId="0" borderId="0" xfId="5" applyNumberFormat="1" applyFont="1" applyFill="1" applyBorder="1" applyAlignment="1">
      <alignment vertical="top" wrapText="1"/>
    </xf>
    <xf numFmtId="4" fontId="10" fillId="0" borderId="0" xfId="5" applyNumberFormat="1" applyFont="1" applyFill="1" applyBorder="1"/>
    <xf numFmtId="4" fontId="6" fillId="0" borderId="0" xfId="1" applyNumberFormat="1" applyFont="1" applyFill="1" applyBorder="1" applyAlignment="1">
      <alignment vertical="top"/>
    </xf>
    <xf numFmtId="4" fontId="5" fillId="0" borderId="0" xfId="1" applyNumberFormat="1" applyFont="1" applyFill="1" applyBorder="1" applyAlignment="1">
      <alignment horizontal="center" vertical="top"/>
    </xf>
    <xf numFmtId="4" fontId="13" fillId="0" borderId="0" xfId="1" applyNumberFormat="1" applyFont="1" applyFill="1" applyBorder="1" applyAlignment="1">
      <alignment vertical="top"/>
    </xf>
    <xf numFmtId="4" fontId="13" fillId="0" borderId="0" xfId="1" applyNumberFormat="1" applyFont="1" applyFill="1" applyBorder="1" applyAlignment="1">
      <alignment horizontal="center" vertical="top"/>
    </xf>
    <xf numFmtId="0" fontId="5" fillId="0" borderId="0" xfId="4" applyFont="1" applyFill="1" applyBorder="1" applyAlignment="1">
      <alignment vertical="top" wrapText="1"/>
    </xf>
    <xf numFmtId="0" fontId="5" fillId="0" borderId="0" xfId="4" applyFont="1" applyFill="1" applyBorder="1"/>
    <xf numFmtId="4" fontId="3" fillId="0" borderId="0" xfId="1" applyNumberFormat="1" applyFont="1" applyFill="1" applyBorder="1" applyAlignment="1">
      <alignment horizontal="center" vertical="top"/>
    </xf>
    <xf numFmtId="3" fontId="7" fillId="0" borderId="0" xfId="4" applyNumberFormat="1" applyFont="1" applyFill="1" applyBorder="1" applyAlignment="1">
      <alignment horizontal="right" vertical="top"/>
    </xf>
    <xf numFmtId="3" fontId="3" fillId="0" borderId="0" xfId="4" applyNumberFormat="1" applyFont="1" applyFill="1" applyBorder="1" applyAlignment="1">
      <alignment horizontal="right" vertical="top"/>
    </xf>
    <xf numFmtId="3" fontId="7" fillId="0" borderId="0" xfId="2" applyNumberFormat="1" applyFont="1" applyFill="1" applyAlignment="1">
      <alignment horizontal="right" vertical="top"/>
    </xf>
    <xf numFmtId="4" fontId="5" fillId="0" borderId="0" xfId="1" applyNumberFormat="1" applyFont="1" applyFill="1" applyBorder="1" applyAlignment="1">
      <alignment vertical="top" wrapText="1"/>
    </xf>
    <xf numFmtId="0" fontId="66" fillId="0" borderId="0" xfId="4" applyFont="1" applyFill="1" applyBorder="1"/>
    <xf numFmtId="0" fontId="2" fillId="0" borderId="0" xfId="4" applyFont="1" applyFill="1" applyBorder="1" applyAlignment="1">
      <alignment horizontal="center"/>
    </xf>
    <xf numFmtId="0" fontId="2" fillId="0" borderId="0" xfId="4" applyFont="1" applyFill="1" applyBorder="1" applyAlignment="1">
      <alignment horizontal="right" vertical="center"/>
    </xf>
    <xf numFmtId="4" fontId="10" fillId="0" borderId="7" xfId="6" applyNumberFormat="1" applyFont="1" applyFill="1" applyBorder="1" applyAlignment="1">
      <alignment vertical="center"/>
    </xf>
    <xf numFmtId="4" fontId="10" fillId="0" borderId="7" xfId="6" applyNumberFormat="1" applyFont="1" applyFill="1" applyBorder="1" applyAlignment="1">
      <alignment horizontal="center" vertical="center"/>
    </xf>
    <xf numFmtId="0" fontId="9" fillId="0" borderId="0" xfId="0" applyFont="1"/>
    <xf numFmtId="0" fontId="9" fillId="0" borderId="0" xfId="0" applyFont="1" applyAlignment="1">
      <alignment horizontal="right"/>
    </xf>
    <xf numFmtId="0" fontId="68" fillId="0" borderId="0" xfId="0" applyFont="1"/>
    <xf numFmtId="0" fontId="9" fillId="0" borderId="0" xfId="0" applyFont="1" applyFill="1" applyAlignment="1">
      <alignment horizontal="right"/>
    </xf>
    <xf numFmtId="0" fontId="43" fillId="0" borderId="0" xfId="0" applyFont="1" applyAlignment="1">
      <alignment horizontal="justify" vertical="center"/>
    </xf>
    <xf numFmtId="0" fontId="43" fillId="0" borderId="0" xfId="0" applyFont="1" applyAlignment="1">
      <alignment horizontal="left" vertical="center" wrapText="1"/>
    </xf>
    <xf numFmtId="0" fontId="43" fillId="0" borderId="0" xfId="0" applyFont="1" applyFill="1" applyAlignment="1">
      <alignment horizontal="left" vertical="center" wrapText="1"/>
    </xf>
    <xf numFmtId="0" fontId="68" fillId="0" borderId="0" xfId="0" applyFont="1" applyFill="1"/>
    <xf numFmtId="0" fontId="43" fillId="0" borderId="0" xfId="0" applyFont="1" applyAlignment="1">
      <alignment horizontal="left" vertical="center" wrapText="1" indent="7"/>
    </xf>
    <xf numFmtId="3" fontId="64" fillId="0" borderId="0" xfId="62" applyNumberFormat="1" applyFont="1" applyAlignment="1">
      <alignment vertical="center"/>
    </xf>
    <xf numFmtId="3" fontId="1" fillId="0" borderId="0" xfId="62" applyNumberFormat="1" applyFont="1" applyAlignment="1">
      <alignment vertical="top"/>
    </xf>
    <xf numFmtId="3" fontId="1" fillId="0" borderId="0" xfId="62" applyNumberFormat="1" applyFont="1" applyAlignment="1">
      <alignment horizontal="center"/>
    </xf>
    <xf numFmtId="0" fontId="70" fillId="0" borderId="0" xfId="117" applyFont="1" applyFill="1" applyBorder="1" applyAlignment="1">
      <alignment vertical="center" wrapText="1"/>
    </xf>
    <xf numFmtId="164" fontId="5" fillId="0" borderId="0" xfId="2" quotePrefix="1" applyNumberFormat="1" applyFont="1" applyFill="1" applyAlignment="1">
      <alignment horizontal="right" vertical="top"/>
    </xf>
    <xf numFmtId="0" fontId="73" fillId="0" borderId="0" xfId="0" applyFont="1"/>
    <xf numFmtId="0" fontId="61" fillId="0" borderId="0" xfId="62" applyFont="1"/>
    <xf numFmtId="0" fontId="61" fillId="0" borderId="0" xfId="62" applyFont="1" applyAlignment="1"/>
    <xf numFmtId="2" fontId="61" fillId="0" borderId="0" xfId="62" applyNumberFormat="1" applyFont="1"/>
    <xf numFmtId="168" fontId="61" fillId="0" borderId="0" xfId="62" applyNumberFormat="1" applyFont="1"/>
    <xf numFmtId="168" fontId="61" fillId="0" borderId="0" xfId="62" applyNumberFormat="1" applyFont="1" applyAlignment="1"/>
    <xf numFmtId="3" fontId="5" fillId="0" borderId="0" xfId="4" applyNumberFormat="1" applyFont="1" applyFill="1" applyBorder="1" applyAlignment="1">
      <alignment horizontal="right" vertical="center"/>
    </xf>
    <xf numFmtId="3" fontId="67" fillId="0" borderId="0" xfId="2" applyNumberFormat="1" applyFont="1" applyFill="1"/>
    <xf numFmtId="3" fontId="67" fillId="0" borderId="0" xfId="2" applyNumberFormat="1" applyFont="1" applyFill="1" applyBorder="1" applyAlignment="1">
      <alignment horizontal="center" vertical="center" wrapText="1"/>
    </xf>
    <xf numFmtId="0" fontId="9" fillId="0" borderId="0" xfId="0" applyFont="1" applyFill="1"/>
    <xf numFmtId="14" fontId="9" fillId="0" borderId="0" xfId="0" applyNumberFormat="1" applyFont="1" applyAlignment="1">
      <alignment horizontal="left"/>
    </xf>
    <xf numFmtId="3" fontId="9" fillId="0" borderId="0" xfId="0" applyNumberFormat="1" applyFont="1"/>
    <xf numFmtId="0" fontId="76" fillId="0" borderId="0" xfId="0" applyFont="1" applyAlignment="1">
      <alignment horizontal="justify" vertical="center"/>
    </xf>
    <xf numFmtId="0" fontId="9" fillId="0" borderId="0" xfId="0" applyFont="1" applyAlignment="1">
      <alignment horizontal="right" vertical="top"/>
    </xf>
    <xf numFmtId="3" fontId="13" fillId="0" borderId="0" xfId="2" applyNumberFormat="1" applyFont="1" applyFill="1"/>
    <xf numFmtId="1" fontId="2" fillId="0" borderId="0" xfId="2" applyNumberFormat="1" applyFont="1" applyFill="1" applyBorder="1" applyProtection="1">
      <protection hidden="1"/>
    </xf>
    <xf numFmtId="4" fontId="2" fillId="0" borderId="0" xfId="2" applyNumberFormat="1" applyFont="1" applyFill="1" applyBorder="1" applyAlignment="1">
      <alignment horizontal="center" vertical="center" wrapText="1"/>
    </xf>
    <xf numFmtId="0" fontId="66" fillId="0" borderId="0" xfId="117" applyFont="1"/>
    <xf numFmtId="3" fontId="2" fillId="0" borderId="0" xfId="117" applyNumberFormat="1" applyFont="1" applyAlignment="1">
      <alignment vertical="center"/>
    </xf>
    <xf numFmtId="0" fontId="79" fillId="0" borderId="0" xfId="117" applyFont="1" applyFill="1"/>
    <xf numFmtId="0" fontId="62" fillId="0" borderId="0" xfId="132" applyFont="1"/>
    <xf numFmtId="0" fontId="62" fillId="0" borderId="0" xfId="132" applyFont="1" applyAlignment="1">
      <alignment horizontal="center"/>
    </xf>
    <xf numFmtId="0" fontId="62" fillId="0" borderId="0" xfId="132" applyFont="1" applyAlignment="1">
      <alignment horizontal="right"/>
    </xf>
    <xf numFmtId="3" fontId="62" fillId="0" borderId="0" xfId="132" applyNumberFormat="1" applyFont="1" applyAlignment="1">
      <alignment wrapText="1"/>
    </xf>
    <xf numFmtId="0" fontId="62" fillId="0" borderId="0" xfId="132" applyFont="1" applyAlignment="1">
      <alignment wrapText="1"/>
    </xf>
    <xf numFmtId="3" fontId="62" fillId="0" borderId="0" xfId="132" applyNumberFormat="1" applyFont="1"/>
    <xf numFmtId="0" fontId="62" fillId="0" borderId="0" xfId="132" applyFont="1" applyAlignment="1">
      <alignment vertical="center"/>
    </xf>
    <xf numFmtId="3" fontId="62" fillId="0" borderId="0" xfId="132" applyNumberFormat="1" applyFont="1" applyAlignment="1">
      <alignment horizontal="center"/>
    </xf>
    <xf numFmtId="1" fontId="62" fillId="0" borderId="0" xfId="132" applyNumberFormat="1" applyFont="1" applyAlignment="1">
      <alignment horizontal="center"/>
    </xf>
    <xf numFmtId="0" fontId="71" fillId="0" borderId="0" xfId="132" applyFont="1" applyAlignment="1">
      <alignment horizontal="center"/>
    </xf>
    <xf numFmtId="0" fontId="78" fillId="0" borderId="0" xfId="132" applyFont="1" applyAlignment="1"/>
    <xf numFmtId="3" fontId="72" fillId="0" borderId="0" xfId="132" applyNumberFormat="1" applyFont="1" applyBorder="1" applyAlignment="1">
      <alignment horizontal="right" vertical="center" wrapText="1"/>
    </xf>
    <xf numFmtId="1" fontId="62" fillId="0" borderId="0" xfId="132" applyNumberFormat="1" applyFont="1"/>
    <xf numFmtId="166" fontId="62" fillId="0" borderId="0" xfId="132" applyNumberFormat="1" applyFont="1"/>
    <xf numFmtId="2" fontId="13" fillId="0" borderId="0" xfId="2" applyNumberFormat="1" applyFont="1" applyFill="1" applyProtection="1">
      <protection hidden="1"/>
    </xf>
    <xf numFmtId="0" fontId="46" fillId="0" borderId="1" xfId="117" applyFont="1" applyFill="1" applyBorder="1"/>
    <xf numFmtId="0" fontId="46" fillId="0" borderId="5" xfId="117" applyFont="1" applyFill="1" applyBorder="1"/>
    <xf numFmtId="0" fontId="6" fillId="0" borderId="0" xfId="117" applyFont="1" applyFill="1" applyBorder="1" applyAlignment="1">
      <alignment vertical="center"/>
    </xf>
    <xf numFmtId="3" fontId="10" fillId="0" borderId="0" xfId="111" applyNumberFormat="1" applyFont="1" applyFill="1" applyBorder="1" applyAlignment="1">
      <alignment horizontal="left" vertical="top" wrapText="1"/>
    </xf>
    <xf numFmtId="0" fontId="10" fillId="0" borderId="0" xfId="117" applyFont="1" applyFill="1" applyBorder="1" applyAlignment="1">
      <alignment vertical="center"/>
    </xf>
    <xf numFmtId="3" fontId="10" fillId="0" borderId="0" xfId="111" applyNumberFormat="1" applyFont="1" applyFill="1" applyBorder="1" applyAlignment="1">
      <alignment horizontal="left" vertical="top"/>
    </xf>
    <xf numFmtId="3" fontId="9" fillId="0" borderId="0" xfId="111" applyNumberFormat="1" applyFont="1" applyFill="1" applyBorder="1" applyAlignment="1">
      <alignment horizontal="left" vertical="center" wrapText="1"/>
    </xf>
    <xf numFmtId="0" fontId="10" fillId="0" borderId="0" xfId="111" applyFont="1" applyFill="1" applyBorder="1" applyAlignment="1">
      <alignment horizontal="left" vertical="top" wrapText="1"/>
    </xf>
    <xf numFmtId="0" fontId="9" fillId="0" borderId="0" xfId="117" applyFont="1" applyFill="1" applyBorder="1" applyAlignment="1">
      <alignment vertical="center" wrapText="1"/>
    </xf>
    <xf numFmtId="0" fontId="9" fillId="0" borderId="0" xfId="117" applyFont="1" applyFill="1" applyBorder="1" applyAlignment="1">
      <alignment vertical="center"/>
    </xf>
    <xf numFmtId="0" fontId="10" fillId="0" borderId="0" xfId="117" applyFont="1" applyFill="1" applyBorder="1" applyAlignment="1">
      <alignment vertical="center" wrapText="1"/>
    </xf>
    <xf numFmtId="0" fontId="9" fillId="0" borderId="0" xfId="117" applyFont="1" applyFill="1" applyBorder="1" applyAlignment="1">
      <alignment vertical="top" wrapText="1"/>
    </xf>
    <xf numFmtId="0" fontId="9" fillId="0" borderId="0" xfId="117" applyFont="1" applyFill="1" applyAlignment="1">
      <alignment vertical="center"/>
    </xf>
    <xf numFmtId="0" fontId="6" fillId="0" borderId="0" xfId="117" applyFont="1" applyFill="1" applyAlignment="1">
      <alignment vertical="center"/>
    </xf>
    <xf numFmtId="0" fontId="9" fillId="0" borderId="0" xfId="117" applyFont="1" applyFill="1" applyAlignment="1">
      <alignment vertical="top" wrapText="1"/>
    </xf>
    <xf numFmtId="49" fontId="6" fillId="0" borderId="0" xfId="117" applyNumberFormat="1" applyFont="1" applyFill="1" applyAlignment="1">
      <alignment horizontal="left" vertical="center"/>
    </xf>
    <xf numFmtId="0" fontId="43" fillId="0" borderId="0" xfId="0" applyFont="1" applyFill="1" applyAlignment="1">
      <alignment horizontal="left" vertical="top" wrapText="1"/>
    </xf>
    <xf numFmtId="0" fontId="10" fillId="0" borderId="0" xfId="0" applyFont="1" applyAlignment="1">
      <alignment horizontal="center" wrapText="1"/>
    </xf>
    <xf numFmtId="4" fontId="6" fillId="0" borderId="0" xfId="2" applyNumberFormat="1" applyFont="1" applyFill="1"/>
    <xf numFmtId="3" fontId="2" fillId="0" borderId="0" xfId="2" applyNumberFormat="1" applyFont="1" applyFill="1" applyProtection="1">
      <protection hidden="1"/>
    </xf>
    <xf numFmtId="4" fontId="14" fillId="0" borderId="0" xfId="2" applyNumberFormat="1" applyFont="1" applyFill="1" applyAlignment="1">
      <alignment vertical="top"/>
    </xf>
    <xf numFmtId="4" fontId="11" fillId="0" borderId="0" xfId="2" applyNumberFormat="1" applyFont="1" applyFill="1"/>
    <xf numFmtId="4" fontId="67" fillId="0" borderId="0" xfId="2" applyNumberFormat="1" applyFont="1" applyFill="1"/>
    <xf numFmtId="4" fontId="5" fillId="0" borderId="0" xfId="2" applyNumberFormat="1" applyFont="1" applyFill="1" applyAlignment="1"/>
    <xf numFmtId="2" fontId="2" fillId="0" borderId="0" xfId="2" applyNumberFormat="1" applyFont="1" applyFill="1" applyProtection="1">
      <protection hidden="1"/>
    </xf>
    <xf numFmtId="2" fontId="5" fillId="0" borderId="0" xfId="2" applyNumberFormat="1" applyFont="1" applyFill="1" applyProtection="1">
      <protection hidden="1"/>
    </xf>
    <xf numFmtId="4" fontId="13" fillId="0" borderId="0" xfId="2" applyNumberFormat="1" applyFont="1" applyFill="1" applyAlignment="1"/>
    <xf numFmtId="4" fontId="11" fillId="0" borderId="0" xfId="2" applyNumberFormat="1" applyFont="1" applyFill="1" applyAlignment="1">
      <alignment horizontal="right"/>
    </xf>
    <xf numFmtId="4" fontId="5" fillId="0" borderId="0" xfId="2" applyNumberFormat="1" applyFont="1" applyFill="1" applyAlignment="1">
      <alignment wrapText="1"/>
    </xf>
    <xf numFmtId="4" fontId="2" fillId="0" borderId="0" xfId="2" applyNumberFormat="1" applyFont="1" applyFill="1" applyAlignment="1">
      <alignment wrapText="1"/>
    </xf>
    <xf numFmtId="4" fontId="15" fillId="0" borderId="0" xfId="2" applyNumberFormat="1" applyFont="1" applyFill="1" applyBorder="1" applyAlignment="1">
      <alignment horizontal="center" vertical="center" wrapText="1"/>
    </xf>
    <xf numFmtId="4" fontId="12" fillId="0" borderId="0" xfId="2" applyNumberFormat="1" applyFont="1" applyFill="1" applyBorder="1"/>
    <xf numFmtId="4" fontId="2" fillId="0" borderId="0" xfId="2" applyNumberFormat="1" applyFont="1" applyFill="1" applyBorder="1" applyAlignment="1">
      <alignment horizontal="center" vertical="center"/>
    </xf>
    <xf numFmtId="4" fontId="2" fillId="0" borderId="0" xfId="2" applyNumberFormat="1" applyFont="1" applyFill="1" applyAlignment="1">
      <alignment horizontal="left" wrapText="1" indent="3"/>
    </xf>
    <xf numFmtId="4" fontId="2" fillId="0" borderId="0" xfId="2" applyNumberFormat="1" applyFont="1" applyFill="1" applyAlignment="1">
      <alignment horizontal="left" vertical="top" wrapText="1" indent="3"/>
    </xf>
    <xf numFmtId="0" fontId="80" fillId="0" borderId="0" xfId="117" applyFont="1" applyFill="1" applyAlignment="1">
      <alignment vertical="center" wrapText="1"/>
    </xf>
    <xf numFmtId="0" fontId="84" fillId="0" borderId="0" xfId="117" applyFont="1" applyFill="1" applyAlignment="1">
      <alignment vertical="center" wrapText="1"/>
    </xf>
    <xf numFmtId="0" fontId="81" fillId="0" borderId="0" xfId="117" applyFont="1" applyFill="1" applyBorder="1" applyAlignment="1">
      <alignment vertical="center" wrapText="1"/>
    </xf>
    <xf numFmtId="0" fontId="81" fillId="0" borderId="7" xfId="117" applyFont="1" applyFill="1" applyBorder="1" applyAlignment="1">
      <alignment horizontal="left" vertical="center" wrapText="1"/>
    </xf>
    <xf numFmtId="0" fontId="85" fillId="0" borderId="0" xfId="0" applyFont="1"/>
    <xf numFmtId="0" fontId="85" fillId="0" borderId="0" xfId="132" applyFont="1"/>
    <xf numFmtId="0" fontId="82" fillId="0" borderId="0" xfId="132" applyFont="1" applyAlignment="1"/>
    <xf numFmtId="0" fontId="85" fillId="0" borderId="0" xfId="0" applyFont="1" applyAlignment="1">
      <alignment horizontal="center"/>
    </xf>
    <xf numFmtId="0" fontId="85" fillId="0" borderId="0" xfId="132" applyFont="1" applyAlignment="1">
      <alignment wrapText="1"/>
    </xf>
    <xf numFmtId="3" fontId="85" fillId="0" borderId="0" xfId="132" applyNumberFormat="1" applyFont="1"/>
    <xf numFmtId="4" fontId="2" fillId="0" borderId="0" xfId="2" applyNumberFormat="1" applyFont="1" applyFill="1" applyAlignment="1">
      <alignment horizontal="left" vertical="top" wrapText="1" indent="4"/>
    </xf>
    <xf numFmtId="3" fontId="42" fillId="0" borderId="0" xfId="2" applyNumberFormat="1" applyFont="1" applyFill="1"/>
    <xf numFmtId="4" fontId="6" fillId="0" borderId="0" xfId="1" applyNumberFormat="1" applyFont="1" applyFill="1" applyBorder="1" applyAlignment="1">
      <alignment vertical="center"/>
    </xf>
    <xf numFmtId="4" fontId="10" fillId="0" borderId="0" xfId="2" applyNumberFormat="1" applyFont="1" applyFill="1" applyAlignment="1">
      <alignment vertical="center"/>
    </xf>
    <xf numFmtId="4" fontId="3" fillId="0" borderId="0" xfId="1" applyNumberFormat="1" applyFont="1" applyFill="1" applyBorder="1" applyAlignment="1">
      <alignment vertical="center"/>
    </xf>
    <xf numFmtId="4" fontId="10" fillId="0" borderId="0" xfId="1" applyNumberFormat="1" applyFont="1" applyFill="1" applyBorder="1" applyAlignment="1">
      <alignment vertical="center"/>
    </xf>
    <xf numFmtId="4" fontId="3" fillId="0" borderId="0" xfId="2" applyNumberFormat="1" applyFont="1" applyFill="1" applyAlignment="1">
      <alignment vertical="center"/>
    </xf>
    <xf numFmtId="4" fontId="66" fillId="0" borderId="0" xfId="1" applyNumberFormat="1" applyFont="1" applyFill="1" applyBorder="1" applyAlignment="1">
      <alignment vertical="center"/>
    </xf>
    <xf numFmtId="4" fontId="7" fillId="0" borderId="0" xfId="1" applyNumberFormat="1" applyFont="1" applyFill="1" applyBorder="1" applyAlignment="1">
      <alignment vertical="center"/>
    </xf>
    <xf numFmtId="164" fontId="14" fillId="0" borderId="0" xfId="1" applyNumberFormat="1" applyFont="1" applyFill="1" applyBorder="1" applyAlignment="1">
      <alignment horizontal="right" vertical="center"/>
    </xf>
    <xf numFmtId="4" fontId="2" fillId="0" borderId="0" xfId="5" applyNumberFormat="1" applyFont="1" applyFill="1" applyBorder="1" applyAlignment="1">
      <alignment vertical="center"/>
    </xf>
    <xf numFmtId="3" fontId="2" fillId="0" borderId="0" xfId="1" applyNumberFormat="1" applyFont="1" applyFill="1" applyBorder="1" applyAlignment="1">
      <alignment horizontal="right" vertical="center"/>
    </xf>
    <xf numFmtId="4" fontId="2" fillId="0" borderId="0" xfId="1" applyNumberFormat="1" applyFont="1" applyFill="1" applyBorder="1" applyAlignment="1">
      <alignment vertical="center" wrapText="1"/>
    </xf>
    <xf numFmtId="4" fontId="66" fillId="0" borderId="0" xfId="1" applyNumberFormat="1" applyFont="1" applyFill="1" applyBorder="1" applyAlignment="1">
      <alignment vertical="center" wrapText="1"/>
    </xf>
    <xf numFmtId="4" fontId="5" fillId="0" borderId="0" xfId="1" applyNumberFormat="1" applyFont="1" applyFill="1" applyBorder="1" applyAlignment="1">
      <alignment horizontal="left" vertical="center" wrapText="1"/>
    </xf>
    <xf numFmtId="4" fontId="66" fillId="0" borderId="0" xfId="5" applyNumberFormat="1" applyFont="1" applyFill="1" applyBorder="1" applyAlignment="1">
      <alignment vertical="center"/>
    </xf>
    <xf numFmtId="4" fontId="5" fillId="0" borderId="0" xfId="5" applyNumberFormat="1" applyFont="1" applyFill="1" applyBorder="1" applyAlignment="1">
      <alignment vertical="center"/>
    </xf>
    <xf numFmtId="4" fontId="2" fillId="0" borderId="0" xfId="2" applyNumberFormat="1" applyFont="1" applyFill="1" applyBorder="1" applyAlignment="1">
      <alignment vertical="center"/>
    </xf>
    <xf numFmtId="4" fontId="5" fillId="0" borderId="0" xfId="1" applyNumberFormat="1" applyFont="1" applyFill="1" applyBorder="1" applyAlignment="1">
      <alignment vertical="center" wrapText="1"/>
    </xf>
    <xf numFmtId="4" fontId="2" fillId="0" borderId="0" xfId="1" applyNumberFormat="1" applyFont="1" applyFill="1" applyBorder="1" applyAlignment="1">
      <alignment horizontal="left" vertical="center" indent="3"/>
    </xf>
    <xf numFmtId="3" fontId="3" fillId="0" borderId="0" xfId="1" applyNumberFormat="1" applyFont="1" applyFill="1"/>
    <xf numFmtId="164" fontId="7" fillId="0" borderId="0" xfId="1" applyNumberFormat="1" applyFont="1" applyFill="1"/>
    <xf numFmtId="3" fontId="5" fillId="0" borderId="0" xfId="5" applyNumberFormat="1" applyFont="1" applyFill="1"/>
    <xf numFmtId="164" fontId="5" fillId="0" borderId="0" xfId="5" applyNumberFormat="1" applyFont="1" applyFill="1"/>
    <xf numFmtId="3" fontId="14" fillId="0" borderId="0" xfId="1" applyNumberFormat="1" applyFont="1" applyFill="1" applyBorder="1" applyAlignment="1">
      <alignment horizontal="right" vertical="top"/>
    </xf>
    <xf numFmtId="3" fontId="13" fillId="0" borderId="0" xfId="1" applyNumberFormat="1" applyFont="1" applyFill="1" applyBorder="1" applyAlignment="1">
      <alignment horizontal="right" vertical="top"/>
    </xf>
    <xf numFmtId="3" fontId="5" fillId="0" borderId="7" xfId="6" applyNumberFormat="1" applyFont="1" applyFill="1" applyBorder="1" applyAlignment="1">
      <alignment horizontal="right" vertical="center"/>
    </xf>
    <xf numFmtId="0" fontId="2" fillId="0" borderId="0" xfId="62" applyFont="1"/>
    <xf numFmtId="0" fontId="2" fillId="0" borderId="0" xfId="62" applyFont="1" applyAlignment="1">
      <alignment horizontal="left" wrapText="1"/>
    </xf>
    <xf numFmtId="0" fontId="6" fillId="0" borderId="0" xfId="62" applyFont="1" applyAlignment="1">
      <alignment horizontal="left" wrapText="1"/>
    </xf>
    <xf numFmtId="0" fontId="83" fillId="0" borderId="0" xfId="0" applyFont="1" applyAlignment="1">
      <alignment horizontal="center"/>
    </xf>
    <xf numFmtId="0" fontId="87" fillId="0" borderId="0" xfId="0" applyFont="1"/>
    <xf numFmtId="3" fontId="2" fillId="0" borderId="0" xfId="4" applyNumberFormat="1" applyFont="1" applyFill="1" applyAlignment="1">
      <alignment vertical="center"/>
    </xf>
    <xf numFmtId="3" fontId="6" fillId="0" borderId="0" xfId="62" applyNumberFormat="1" applyFont="1" applyAlignment="1">
      <alignment horizontal="center" wrapText="1"/>
    </xf>
    <xf numFmtId="3" fontId="65" fillId="0" borderId="0" xfId="62" applyNumberFormat="1" applyFont="1" applyAlignment="1">
      <alignment horizontal="left" vertical="top"/>
    </xf>
    <xf numFmtId="3" fontId="2" fillId="0" borderId="0" xfId="62" applyNumberFormat="1" applyFont="1" applyAlignment="1">
      <alignment horizontal="left" vertical="top"/>
    </xf>
    <xf numFmtId="3" fontId="2" fillId="0" borderId="0" xfId="62" applyNumberFormat="1" applyFont="1" applyAlignment="1">
      <alignment vertical="top"/>
    </xf>
    <xf numFmtId="3" fontId="2" fillId="0" borderId="0" xfId="62" applyNumberFormat="1" applyFont="1" applyAlignment="1">
      <alignment vertical="top" wrapText="1"/>
    </xf>
    <xf numFmtId="3" fontId="2" fillId="0" borderId="0" xfId="62" applyNumberFormat="1" applyFont="1" applyFill="1" applyAlignment="1">
      <alignment horizontal="left" vertical="top" wrapText="1"/>
    </xf>
    <xf numFmtId="0" fontId="2" fillId="0" borderId="0" xfId="62" applyFont="1" applyFill="1" applyAlignment="1">
      <alignment horizontal="left" vertical="top" wrapText="1"/>
    </xf>
    <xf numFmtId="0" fontId="2" fillId="0" borderId="0" xfId="62" applyFont="1" applyFill="1" applyAlignment="1">
      <alignment horizontal="left" vertical="top"/>
    </xf>
    <xf numFmtId="0" fontId="2" fillId="0" borderId="0" xfId="62" applyFont="1" applyFill="1" applyAlignment="1">
      <alignment vertical="top" wrapText="1"/>
    </xf>
    <xf numFmtId="3" fontId="6" fillId="0" borderId="0" xfId="62" applyNumberFormat="1" applyFont="1" applyBorder="1"/>
    <xf numFmtId="3" fontId="5" fillId="0" borderId="0" xfId="62" applyNumberFormat="1" applyFont="1" applyFill="1" applyAlignment="1">
      <alignment horizontal="left" vertical="top"/>
    </xf>
    <xf numFmtId="3" fontId="5" fillId="0" borderId="0" xfId="62" applyNumberFormat="1" applyFont="1" applyAlignment="1">
      <alignment vertical="top"/>
    </xf>
    <xf numFmtId="3" fontId="2" fillId="0" borderId="0" xfId="62" applyNumberFormat="1" applyFont="1" applyFill="1" applyAlignment="1">
      <alignment horizontal="left" vertical="center" wrapText="1"/>
    </xf>
    <xf numFmtId="3" fontId="2" fillId="0" borderId="0" xfId="62" applyNumberFormat="1" applyFont="1" applyFill="1" applyAlignment="1">
      <alignment horizontal="left" vertical="top"/>
    </xf>
    <xf numFmtId="0" fontId="5" fillId="0" borderId="0" xfId="62" applyFont="1" applyFill="1" applyAlignment="1">
      <alignment horizontal="left" vertical="top" wrapText="1"/>
    </xf>
    <xf numFmtId="3" fontId="5" fillId="0" borderId="0" xfId="62" applyNumberFormat="1" applyFont="1" applyFill="1" applyAlignment="1">
      <alignment horizontal="left" vertical="top" wrapText="1"/>
    </xf>
    <xf numFmtId="0" fontId="2" fillId="0" borderId="0" xfId="117" applyFont="1" applyFill="1" applyAlignment="1">
      <alignment vertical="center" wrapText="1"/>
    </xf>
    <xf numFmtId="3" fontId="5" fillId="0" borderId="7" xfId="62" applyNumberFormat="1" applyFont="1" applyBorder="1" applyAlignment="1">
      <alignment horizontal="center" vertical="center"/>
    </xf>
    <xf numFmtId="0" fontId="9" fillId="0" borderId="0" xfId="117" applyFont="1" applyFill="1" applyAlignment="1">
      <alignment vertical="center" wrapText="1"/>
    </xf>
    <xf numFmtId="3" fontId="9" fillId="0" borderId="0" xfId="117" applyNumberFormat="1" applyFont="1" applyAlignment="1">
      <alignment horizontal="right" vertical="center"/>
    </xf>
    <xf numFmtId="4" fontId="6" fillId="0" borderId="0" xfId="2" applyNumberFormat="1" applyFont="1" applyFill="1" applyAlignment="1">
      <alignment horizontal="center"/>
    </xf>
    <xf numFmtId="3" fontId="2" fillId="0" borderId="0" xfId="2" applyNumberFormat="1" applyFont="1" applyFill="1" applyAlignment="1" applyProtection="1">
      <alignment vertical="center"/>
      <protection hidden="1"/>
    </xf>
    <xf numFmtId="3" fontId="5" fillId="0" borderId="0" xfId="2" applyNumberFormat="1" applyFont="1" applyFill="1" applyAlignment="1" applyProtection="1">
      <alignment vertical="center"/>
      <protection hidden="1"/>
    </xf>
    <xf numFmtId="3" fontId="10" fillId="0" borderId="0" xfId="2" applyNumberFormat="1" applyFont="1" applyFill="1"/>
    <xf numFmtId="2" fontId="2" fillId="0" borderId="0" xfId="2" applyNumberFormat="1" applyFont="1" applyFill="1" applyBorder="1" applyProtection="1">
      <protection hidden="1"/>
    </xf>
    <xf numFmtId="4" fontId="5" fillId="0" borderId="0" xfId="2" applyNumberFormat="1" applyFont="1" applyFill="1" applyBorder="1" applyProtection="1">
      <protection hidden="1"/>
    </xf>
    <xf numFmtId="4" fontId="2" fillId="0" borderId="0" xfId="2" applyNumberFormat="1" applyFont="1" applyFill="1" applyBorder="1" applyProtection="1">
      <protection hidden="1"/>
    </xf>
    <xf numFmtId="2" fontId="5" fillId="0" borderId="0" xfId="2" applyNumberFormat="1" applyFont="1" applyFill="1" applyBorder="1" applyProtection="1">
      <protection hidden="1"/>
    </xf>
    <xf numFmtId="3" fontId="2" fillId="0" borderId="0" xfId="2" applyNumberFormat="1" applyFont="1" applyFill="1" applyBorder="1" applyProtection="1">
      <protection hidden="1"/>
    </xf>
    <xf numFmtId="3" fontId="5" fillId="0" borderId="0" xfId="2" applyNumberFormat="1" applyFont="1" applyFill="1" applyBorder="1" applyProtection="1">
      <protection hidden="1"/>
    </xf>
    <xf numFmtId="2" fontId="14" fillId="0" borderId="0" xfId="2" applyNumberFormat="1" applyFont="1" applyFill="1" applyProtection="1">
      <protection hidden="1"/>
    </xf>
    <xf numFmtId="4" fontId="2" fillId="0" borderId="0" xfId="2" applyNumberFormat="1" applyFont="1" applyFill="1" applyProtection="1">
      <protection hidden="1"/>
    </xf>
    <xf numFmtId="3" fontId="7" fillId="0" borderId="0" xfId="2" applyNumberFormat="1" applyFont="1" applyFill="1" applyProtection="1">
      <protection hidden="1"/>
    </xf>
    <xf numFmtId="4" fontId="5" fillId="0" borderId="0" xfId="2" applyNumberFormat="1" applyFont="1" applyFill="1" applyProtection="1">
      <protection hidden="1"/>
    </xf>
    <xf numFmtId="4" fontId="13" fillId="0" borderId="0" xfId="2" applyNumberFormat="1" applyFont="1" applyFill="1"/>
    <xf numFmtId="3" fontId="5" fillId="0" borderId="0" xfId="2" applyNumberFormat="1" applyFont="1" applyFill="1" applyAlignment="1">
      <alignment horizontal="right"/>
    </xf>
    <xf numFmtId="3" fontId="10" fillId="0" borderId="0" xfId="1" applyNumberFormat="1" applyFont="1" applyFill="1" applyBorder="1" applyAlignment="1">
      <alignment horizontal="right" vertical="center"/>
    </xf>
    <xf numFmtId="3" fontId="2" fillId="0" borderId="0" xfId="1" applyNumberFormat="1" applyFont="1" applyFill="1" applyBorder="1" applyAlignment="1">
      <alignment vertical="center"/>
    </xf>
    <xf numFmtId="3" fontId="11" fillId="0" borderId="0" xfId="1" applyNumberFormat="1" applyFont="1" applyFill="1" applyBorder="1" applyAlignment="1">
      <alignment horizontal="right" vertical="center"/>
    </xf>
    <xf numFmtId="4" fontId="7" fillId="0" borderId="0" xfId="1" applyNumberFormat="1" applyFont="1" applyFill="1" applyBorder="1" applyAlignment="1">
      <alignment horizontal="right" vertical="center"/>
    </xf>
    <xf numFmtId="4" fontId="3" fillId="0" borderId="0" xfId="1" applyNumberFormat="1" applyFont="1" applyFill="1" applyBorder="1" applyAlignment="1">
      <alignment horizontal="right" vertical="center"/>
    </xf>
    <xf numFmtId="3" fontId="7" fillId="0" borderId="0" xfId="5" applyNumberFormat="1" applyFont="1" applyFill="1" applyBorder="1" applyAlignment="1">
      <alignment horizontal="right" vertical="center"/>
    </xf>
    <xf numFmtId="3" fontId="3" fillId="0" borderId="0" xfId="5" applyNumberFormat="1" applyFont="1" applyFill="1" applyBorder="1" applyAlignment="1">
      <alignment horizontal="right" vertical="center"/>
    </xf>
    <xf numFmtId="3" fontId="5" fillId="0" borderId="0" xfId="4" applyNumberFormat="1" applyFont="1" applyFill="1" applyAlignment="1">
      <alignment vertical="center"/>
    </xf>
    <xf numFmtId="3" fontId="7" fillId="0" borderId="0" xfId="1" quotePrefix="1" applyNumberFormat="1" applyFont="1" applyFill="1" applyBorder="1" applyAlignment="1">
      <alignment horizontal="right" vertical="center"/>
    </xf>
    <xf numFmtId="3" fontId="5" fillId="0" borderId="0" xfId="1" applyNumberFormat="1" applyFont="1" applyFill="1" applyBorder="1" applyAlignment="1">
      <alignment vertical="center"/>
    </xf>
    <xf numFmtId="0" fontId="5" fillId="0" borderId="0" xfId="4" applyFont="1" applyFill="1" applyAlignment="1">
      <alignment vertical="center"/>
    </xf>
    <xf numFmtId="164" fontId="5" fillId="0" borderId="0" xfId="1" applyNumberFormat="1" applyFont="1" applyFill="1" applyBorder="1" applyAlignment="1">
      <alignment horizontal="right" vertical="center"/>
    </xf>
    <xf numFmtId="0" fontId="7" fillId="0" borderId="0" xfId="4" applyFont="1" applyFill="1" applyAlignment="1">
      <alignment vertical="center"/>
    </xf>
    <xf numFmtId="3" fontId="3" fillId="0" borderId="0" xfId="4" applyNumberFormat="1" applyFont="1" applyFill="1" applyAlignment="1">
      <alignment vertical="center"/>
    </xf>
    <xf numFmtId="4" fontId="42" fillId="0" borderId="0" xfId="1" applyNumberFormat="1" applyFont="1" applyFill="1" applyBorder="1" applyAlignment="1">
      <alignment horizontal="center" vertical="center" wrapText="1"/>
    </xf>
    <xf numFmtId="165" fontId="3" fillId="0" borderId="0" xfId="1" applyNumberFormat="1" applyFont="1" applyFill="1" applyBorder="1" applyAlignment="1">
      <alignment horizontal="center" vertical="center"/>
    </xf>
    <xf numFmtId="3" fontId="10" fillId="0" borderId="0" xfId="1" applyNumberFormat="1" applyFont="1" applyFill="1" applyBorder="1" applyAlignment="1">
      <alignment vertical="center"/>
    </xf>
    <xf numFmtId="3" fontId="5" fillId="0" borderId="0" xfId="1" applyNumberFormat="1" applyFont="1" applyFill="1" applyBorder="1" applyAlignment="1">
      <alignment horizontal="right" vertical="center" wrapText="1"/>
    </xf>
    <xf numFmtId="3" fontId="2" fillId="0" borderId="0" xfId="1" applyNumberFormat="1" applyFont="1" applyFill="1" applyBorder="1" applyAlignment="1">
      <alignment horizontal="right" vertical="center" wrapText="1"/>
    </xf>
    <xf numFmtId="4" fontId="2" fillId="0" borderId="0" xfId="1" applyNumberFormat="1" applyFont="1" applyFill="1" applyBorder="1" applyAlignment="1">
      <alignment horizontal="right" vertical="center" wrapText="1"/>
    </xf>
    <xf numFmtId="4" fontId="5" fillId="0" borderId="0" xfId="1" applyNumberFormat="1" applyFont="1" applyFill="1" applyBorder="1" applyAlignment="1">
      <alignment horizontal="right" vertical="center" wrapText="1"/>
    </xf>
    <xf numFmtId="3" fontId="11" fillId="0" borderId="0" xfId="1" applyNumberFormat="1" applyFont="1" applyFill="1" applyAlignment="1"/>
    <xf numFmtId="3" fontId="14" fillId="0" borderId="0" xfId="1" applyNumberFormat="1" applyFont="1" applyFill="1"/>
    <xf numFmtId="164" fontId="14" fillId="0" borderId="0" xfId="1" applyNumberFormat="1" applyFont="1" applyFill="1"/>
    <xf numFmtId="3" fontId="13" fillId="0" borderId="0" xfId="1" applyNumberFormat="1" applyFont="1" applyFill="1"/>
    <xf numFmtId="3" fontId="7" fillId="0" borderId="0" xfId="1" applyNumberFormat="1" applyFont="1" applyFill="1"/>
    <xf numFmtId="4" fontId="3" fillId="0" borderId="0" xfId="1" applyNumberFormat="1" applyFont="1" applyFill="1"/>
    <xf numFmtId="3" fontId="7" fillId="0" borderId="0" xfId="5" applyNumberFormat="1" applyFont="1" applyFill="1"/>
    <xf numFmtId="3" fontId="3" fillId="0" borderId="0" xfId="5" applyNumberFormat="1" applyFont="1" applyFill="1"/>
    <xf numFmtId="3" fontId="2" fillId="0" borderId="0" xfId="2" applyNumberFormat="1" applyFont="1" applyFill="1" applyAlignment="1">
      <alignment vertical="top"/>
    </xf>
    <xf numFmtId="3" fontId="5" fillId="0" borderId="0" xfId="2" applyNumberFormat="1" applyFont="1" applyFill="1" applyAlignment="1">
      <alignment vertical="top"/>
    </xf>
    <xf numFmtId="3" fontId="2" fillId="0" borderId="0" xfId="4" applyNumberFormat="1" applyFont="1" applyFill="1" applyBorder="1" applyAlignment="1">
      <alignment horizontal="right" vertical="top"/>
    </xf>
    <xf numFmtId="3" fontId="5" fillId="0" borderId="0" xfId="4" applyNumberFormat="1" applyFont="1" applyFill="1" applyBorder="1" applyAlignment="1">
      <alignment horizontal="right" vertical="top"/>
    </xf>
    <xf numFmtId="3" fontId="14" fillId="0" borderId="0" xfId="4" applyNumberFormat="1" applyFont="1" applyFill="1" applyBorder="1" applyAlignment="1">
      <alignment horizontal="right" vertical="center"/>
    </xf>
    <xf numFmtId="3" fontId="13" fillId="0" borderId="0" xfId="4" applyNumberFormat="1" applyFont="1" applyFill="1" applyBorder="1" applyAlignment="1">
      <alignment horizontal="right" vertical="center"/>
    </xf>
    <xf numFmtId="3" fontId="7" fillId="0" borderId="0" xfId="1" applyNumberFormat="1" applyFont="1" applyFill="1" applyBorder="1" applyAlignment="1">
      <alignment horizontal="right" vertical="top"/>
    </xf>
    <xf numFmtId="3" fontId="3" fillId="0" borderId="0" xfId="1" applyNumberFormat="1" applyFont="1" applyFill="1" applyBorder="1" applyAlignment="1">
      <alignment horizontal="right" vertical="top"/>
    </xf>
    <xf numFmtId="0" fontId="9" fillId="0" borderId="0" xfId="117" applyFont="1" applyAlignment="1">
      <alignment horizontal="right"/>
    </xf>
    <xf numFmtId="3" fontId="9" fillId="0" borderId="1" xfId="0" applyNumberFormat="1" applyFont="1" applyFill="1" applyBorder="1" applyAlignment="1">
      <alignment horizontal="center" vertical="center"/>
    </xf>
    <xf numFmtId="3" fontId="9" fillId="0" borderId="1" xfId="0" applyNumberFormat="1" applyFont="1" applyBorder="1" applyAlignment="1">
      <alignment horizontal="center" vertical="center"/>
    </xf>
    <xf numFmtId="3" fontId="10" fillId="0" borderId="1" xfId="0" applyNumberFormat="1" applyFont="1" applyBorder="1" applyAlignment="1">
      <alignment horizontal="center" vertical="center"/>
    </xf>
    <xf numFmtId="164" fontId="9" fillId="0" borderId="5" xfId="0" applyNumberFormat="1" applyFont="1" applyFill="1" applyBorder="1" applyAlignment="1">
      <alignment horizontal="center" vertical="center"/>
    </xf>
    <xf numFmtId="164" fontId="9" fillId="0" borderId="5" xfId="0" applyNumberFormat="1" applyFont="1" applyBorder="1" applyAlignment="1">
      <alignment horizontal="center" vertical="center"/>
    </xf>
    <xf numFmtId="164" fontId="10" fillId="0" borderId="5" xfId="0" applyNumberFormat="1" applyFont="1" applyBorder="1" applyAlignment="1">
      <alignment horizontal="center" vertical="center"/>
    </xf>
    <xf numFmtId="3" fontId="5" fillId="0" borderId="0" xfId="117" applyNumberFormat="1" applyFont="1" applyFill="1" applyBorder="1" applyAlignment="1">
      <alignment vertical="center"/>
    </xf>
    <xf numFmtId="3" fontId="10" fillId="0" borderId="0" xfId="117" applyNumberFormat="1" applyFont="1" applyFill="1" applyBorder="1" applyAlignment="1">
      <alignment vertical="center"/>
    </xf>
    <xf numFmtId="3" fontId="10" fillId="0" borderId="0" xfId="62" applyNumberFormat="1" applyFont="1" applyFill="1" applyAlignment="1">
      <alignment vertical="top"/>
    </xf>
    <xf numFmtId="3" fontId="10" fillId="0" borderId="0" xfId="62" applyNumberFormat="1" applyFont="1" applyAlignment="1">
      <alignment vertical="top"/>
    </xf>
    <xf numFmtId="3" fontId="2" fillId="0" borderId="0" xfId="62" applyNumberFormat="1" applyFont="1" applyFill="1" applyAlignment="1">
      <alignment vertical="top"/>
    </xf>
    <xf numFmtId="3" fontId="5" fillId="0" borderId="0" xfId="62" applyNumberFormat="1" applyFont="1" applyFill="1" applyAlignment="1">
      <alignment vertical="top"/>
    </xf>
    <xf numFmtId="3" fontId="9" fillId="0" borderId="0" xfId="117" applyNumberFormat="1" applyFont="1" applyFill="1" applyBorder="1" applyAlignment="1">
      <alignment vertical="center" wrapText="1"/>
    </xf>
    <xf numFmtId="3" fontId="6" fillId="0" borderId="0" xfId="117" applyNumberFormat="1" applyFont="1" applyFill="1" applyBorder="1" applyAlignment="1">
      <alignment vertical="center" wrapText="1"/>
    </xf>
    <xf numFmtId="3" fontId="2" fillId="0" borderId="0" xfId="117" applyNumberFormat="1" applyFont="1" applyFill="1" applyAlignment="1">
      <alignment vertical="center"/>
    </xf>
    <xf numFmtId="3" fontId="2" fillId="0" borderId="0" xfId="117" applyNumberFormat="1" applyFont="1" applyFill="1" applyBorder="1" applyAlignment="1">
      <alignment vertical="center"/>
    </xf>
    <xf numFmtId="3" fontId="2" fillId="0" borderId="0" xfId="117" applyNumberFormat="1" applyFont="1" applyFill="1" applyBorder="1" applyAlignment="1">
      <alignment vertical="center" wrapText="1"/>
    </xf>
    <xf numFmtId="0" fontId="2" fillId="0" borderId="0" xfId="117" applyFont="1" applyFill="1" applyBorder="1"/>
    <xf numFmtId="3" fontId="2" fillId="0" borderId="0" xfId="117" applyNumberFormat="1" applyFont="1"/>
    <xf numFmtId="3" fontId="2" fillId="0" borderId="0" xfId="117" applyNumberFormat="1" applyFont="1" applyFill="1"/>
    <xf numFmtId="3" fontId="2" fillId="0" borderId="0" xfId="117" applyNumberFormat="1" applyFont="1" applyFill="1" applyAlignment="1">
      <alignment vertical="center" wrapText="1"/>
    </xf>
    <xf numFmtId="3" fontId="5" fillId="0" borderId="0" xfId="117" applyNumberFormat="1" applyFont="1" applyAlignment="1">
      <alignment vertical="center"/>
    </xf>
    <xf numFmtId="0" fontId="2" fillId="0" borderId="0" xfId="115" applyFont="1"/>
    <xf numFmtId="0" fontId="2" fillId="0" borderId="0" xfId="115" applyFont="1" applyFill="1" applyAlignment="1">
      <alignment horizontal="center"/>
    </xf>
    <xf numFmtId="0" fontId="2" fillId="0" borderId="0" xfId="115" applyNumberFormat="1" applyFont="1" applyAlignment="1">
      <alignment horizontal="left" vertical="justify" wrapText="1"/>
    </xf>
    <xf numFmtId="0" fontId="2" fillId="0" borderId="0" xfId="115" applyNumberFormat="1" applyFont="1" applyFill="1" applyAlignment="1">
      <alignment horizontal="left" vertical="justify" wrapText="1"/>
    </xf>
    <xf numFmtId="0" fontId="2" fillId="0" borderId="18" xfId="115" applyFont="1" applyFill="1" applyBorder="1" applyAlignment="1">
      <alignment horizontal="center" vertical="center" wrapText="1"/>
    </xf>
    <xf numFmtId="0" fontId="2" fillId="0" borderId="0" xfId="115" applyFont="1" applyFill="1"/>
    <xf numFmtId="0" fontId="5" fillId="0" borderId="18" xfId="115" applyFont="1" applyBorder="1" applyAlignment="1">
      <alignment horizontal="center" vertical="center"/>
    </xf>
    <xf numFmtId="2" fontId="5" fillId="0" borderId="18" xfId="115" applyNumberFormat="1" applyFont="1" applyFill="1" applyBorder="1" applyAlignment="1">
      <alignment horizontal="center" vertical="center"/>
    </xf>
    <xf numFmtId="166" fontId="5" fillId="0" borderId="18" xfId="115" applyNumberFormat="1" applyFont="1" applyFill="1" applyBorder="1" applyAlignment="1">
      <alignment horizontal="center" vertical="center"/>
    </xf>
    <xf numFmtId="0" fontId="2" fillId="0" borderId="0" xfId="62" applyFont="1" applyAlignment="1">
      <alignment horizontal="right"/>
    </xf>
    <xf numFmtId="0" fontId="6" fillId="0" borderId="0" xfId="62" applyFont="1" applyAlignment="1">
      <alignment horizontal="center"/>
    </xf>
    <xf numFmtId="0" fontId="43" fillId="0" borderId="0" xfId="0" applyFont="1"/>
    <xf numFmtId="0" fontId="2" fillId="0" borderId="0" xfId="62" applyFont="1" applyAlignment="1"/>
    <xf numFmtId="0" fontId="2" fillId="0" borderId="0" xfId="62" applyFont="1" applyAlignment="1">
      <alignment horizontal="justify"/>
    </xf>
    <xf numFmtId="0" fontId="2" fillId="0" borderId="0" xfId="62" applyFont="1" applyAlignment="1">
      <alignment horizontal="center"/>
    </xf>
    <xf numFmtId="49" fontId="2" fillId="0" borderId="0" xfId="62" applyNumberFormat="1" applyFont="1" applyAlignment="1"/>
    <xf numFmtId="0" fontId="2" fillId="0" borderId="0" xfId="62" applyFont="1" applyAlignment="1">
      <alignment horizontal="left"/>
    </xf>
    <xf numFmtId="0" fontId="6" fillId="0" borderId="0" xfId="0" applyFont="1" applyAlignment="1">
      <alignment horizontal="left" vertical="center"/>
    </xf>
    <xf numFmtId="0" fontId="6" fillId="0" borderId="0" xfId="62" applyFont="1"/>
    <xf numFmtId="0" fontId="43" fillId="0" borderId="0" xfId="62" applyFont="1"/>
    <xf numFmtId="0" fontId="9" fillId="0" borderId="18" xfId="0" applyFont="1" applyBorder="1" applyAlignment="1">
      <alignment vertical="center" wrapText="1"/>
    </xf>
    <xf numFmtId="0" fontId="9" fillId="0" borderId="18" xfId="0" applyFont="1" applyBorder="1" applyAlignment="1">
      <alignment horizontal="right" vertical="center" wrapText="1"/>
    </xf>
    <xf numFmtId="0" fontId="10" fillId="0" borderId="18" xfId="0" applyFont="1" applyBorder="1" applyAlignment="1">
      <alignment horizontal="right" vertical="center" wrapText="1"/>
    </xf>
    <xf numFmtId="0" fontId="9" fillId="0" borderId="1" xfId="0" applyFont="1" applyBorder="1" applyAlignment="1">
      <alignment horizontal="right" vertical="center" wrapText="1"/>
    </xf>
    <xf numFmtId="0" fontId="10" fillId="0" borderId="18" xfId="0" applyFont="1" applyBorder="1" applyAlignment="1">
      <alignment vertical="center"/>
    </xf>
    <xf numFmtId="3" fontId="10" fillId="0" borderId="18" xfId="0" applyNumberFormat="1" applyFont="1" applyBorder="1" applyAlignment="1">
      <alignment vertical="center"/>
    </xf>
    <xf numFmtId="0" fontId="9" fillId="0" borderId="18" xfId="0" quotePrefix="1" applyFont="1" applyBorder="1" applyAlignment="1">
      <alignment horizontal="left" vertical="center" indent="2"/>
    </xf>
    <xf numFmtId="3" fontId="9" fillId="0" borderId="18" xfId="0" applyNumberFormat="1" applyFont="1" applyBorder="1" applyAlignment="1">
      <alignment vertical="center"/>
    </xf>
    <xf numFmtId="3" fontId="9" fillId="0" borderId="18" xfId="0" applyNumberFormat="1" applyFont="1" applyFill="1" applyBorder="1" applyAlignment="1">
      <alignment vertical="center"/>
    </xf>
    <xf numFmtId="0" fontId="43" fillId="0" borderId="0" xfId="0" applyFont="1" applyAlignment="1">
      <alignment horizontal="left" vertical="center" indent="7"/>
    </xf>
    <xf numFmtId="0" fontId="43" fillId="0" borderId="20" xfId="0" applyFont="1" applyBorder="1" applyAlignment="1">
      <alignment horizontal="center" wrapText="1"/>
    </xf>
    <xf numFmtId="0" fontId="43" fillId="0" borderId="0" xfId="0" applyFont="1" applyAlignment="1">
      <alignment horizontal="center" vertical="center" wrapText="1"/>
    </xf>
    <xf numFmtId="0" fontId="43" fillId="0" borderId="0" xfId="0" applyFont="1" applyAlignment="1">
      <alignment horizontal="left" vertical="top" wrapText="1"/>
    </xf>
    <xf numFmtId="0" fontId="43" fillId="0" borderId="0" xfId="132" applyFont="1"/>
    <xf numFmtId="0" fontId="43" fillId="0" borderId="0" xfId="132" applyFont="1" applyAlignment="1">
      <alignment horizontal="center"/>
    </xf>
    <xf numFmtId="0" fontId="43" fillId="0" borderId="0" xfId="132" applyFont="1" applyAlignment="1">
      <alignment horizontal="right"/>
    </xf>
    <xf numFmtId="0" fontId="43" fillId="0" borderId="0" xfId="132" applyFont="1" applyAlignment="1">
      <alignment horizontal="center" wrapText="1"/>
    </xf>
    <xf numFmtId="0" fontId="43" fillId="0" borderId="18" xfId="0" applyFont="1" applyFill="1" applyBorder="1" applyAlignment="1">
      <alignment vertical="center" wrapText="1"/>
    </xf>
    <xf numFmtId="0" fontId="43" fillId="0" borderId="18" xfId="0" applyFont="1" applyFill="1" applyBorder="1" applyAlignment="1">
      <alignment horizontal="center" vertical="center" wrapText="1"/>
    </xf>
    <xf numFmtId="0" fontId="43"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22" xfId="0" applyFont="1" applyFill="1" applyBorder="1" applyAlignment="1">
      <alignment vertical="center" wrapText="1"/>
    </xf>
    <xf numFmtId="0" fontId="43" fillId="0" borderId="0" xfId="0" applyFont="1" applyFill="1" applyBorder="1" applyAlignment="1">
      <alignment horizontal="center" vertical="center" wrapText="1"/>
    </xf>
    <xf numFmtId="0" fontId="4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3" fillId="0" borderId="24" xfId="0" applyFont="1" applyBorder="1" applyAlignment="1">
      <alignment horizontal="center" vertical="center" wrapText="1"/>
    </xf>
    <xf numFmtId="0" fontId="2" fillId="0" borderId="22" xfId="0" applyFont="1" applyFill="1" applyBorder="1" applyAlignment="1">
      <alignment horizontal="left" vertical="center" wrapText="1" indent="2"/>
    </xf>
    <xf numFmtId="0" fontId="2" fillId="0" borderId="0" xfId="0" applyFont="1" applyFill="1" applyBorder="1" applyAlignment="1">
      <alignment vertical="center" wrapText="1"/>
    </xf>
    <xf numFmtId="166" fontId="2" fillId="0" borderId="0" xfId="0" applyNumberFormat="1" applyFont="1" applyBorder="1" applyAlignment="1">
      <alignment horizontal="right" vertical="center" wrapText="1"/>
    </xf>
    <xf numFmtId="0" fontId="2" fillId="0" borderId="0" xfId="0" applyFont="1" applyBorder="1" applyAlignment="1">
      <alignment horizontal="right" vertical="center" wrapText="1"/>
    </xf>
    <xf numFmtId="166" fontId="43" fillId="0" borderId="0" xfId="0" applyNumberFormat="1" applyFont="1" applyBorder="1" applyAlignment="1">
      <alignment horizontal="right" vertical="center" wrapText="1"/>
    </xf>
    <xf numFmtId="166" fontId="43" fillId="0" borderId="23"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2" fillId="0" borderId="23" xfId="0" applyNumberFormat="1" applyFont="1" applyBorder="1" applyAlignment="1">
      <alignment horizontal="right" vertical="center" wrapText="1"/>
    </xf>
    <xf numFmtId="3" fontId="2" fillId="0" borderId="0" xfId="0" applyNumberFormat="1" applyFont="1" applyFill="1" applyBorder="1" applyAlignment="1">
      <alignment horizontal="right" vertical="center"/>
    </xf>
    <xf numFmtId="3" fontId="43" fillId="0" borderId="0" xfId="0" applyNumberFormat="1" applyFont="1" applyFill="1" applyBorder="1" applyAlignment="1">
      <alignment horizontal="right" vertical="center"/>
    </xf>
    <xf numFmtId="3" fontId="43" fillId="0" borderId="23" xfId="0" applyNumberFormat="1" applyFont="1" applyFill="1" applyBorder="1" applyAlignment="1">
      <alignment horizontal="right" vertical="center"/>
    </xf>
    <xf numFmtId="164" fontId="2" fillId="0" borderId="0" xfId="0" applyNumberFormat="1" applyFont="1" applyFill="1" applyBorder="1" applyAlignment="1">
      <alignment horizontal="right" vertical="center"/>
    </xf>
    <xf numFmtId="164" fontId="2" fillId="0" borderId="23" xfId="0" applyNumberFormat="1" applyFont="1" applyFill="1" applyBorder="1" applyAlignment="1">
      <alignment horizontal="right" vertical="center"/>
    </xf>
    <xf numFmtId="3" fontId="2" fillId="0" borderId="0" xfId="0" applyNumberFormat="1" applyFont="1" applyBorder="1" applyAlignment="1">
      <alignment horizontal="right" vertical="center" wrapText="1"/>
    </xf>
    <xf numFmtId="3" fontId="2" fillId="0" borderId="23"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0" fontId="6" fillId="0" borderId="22" xfId="0" applyFont="1" applyFill="1" applyBorder="1" applyAlignment="1">
      <alignment vertical="center" wrapText="1"/>
    </xf>
    <xf numFmtId="0" fontId="5" fillId="0" borderId="0" xfId="0" applyFont="1" applyFill="1" applyBorder="1" applyAlignment="1">
      <alignment vertical="center" wrapText="1"/>
    </xf>
    <xf numFmtId="3" fontId="6" fillId="0" borderId="0" xfId="0" applyNumberFormat="1" applyFont="1" applyFill="1" applyBorder="1" applyAlignment="1">
      <alignment horizontal="right" vertical="center"/>
    </xf>
    <xf numFmtId="164" fontId="6" fillId="0" borderId="0" xfId="0" applyNumberFormat="1" applyFont="1" applyFill="1" applyBorder="1" applyAlignment="1">
      <alignment horizontal="right" vertical="center"/>
    </xf>
    <xf numFmtId="3" fontId="6" fillId="0" borderId="23" xfId="0" applyNumberFormat="1" applyFont="1" applyFill="1" applyBorder="1" applyAlignment="1">
      <alignment horizontal="right" vertical="center"/>
    </xf>
    <xf numFmtId="0" fontId="43" fillId="0" borderId="22" xfId="0" applyFont="1" applyFill="1" applyBorder="1" applyAlignment="1">
      <alignment vertical="center" wrapText="1"/>
    </xf>
    <xf numFmtId="164" fontId="43" fillId="0" borderId="0" xfId="0" applyNumberFormat="1" applyFont="1" applyFill="1" applyBorder="1" applyAlignment="1">
      <alignment horizontal="right" vertical="center"/>
    </xf>
    <xf numFmtId="0" fontId="43" fillId="0" borderId="0" xfId="0" applyFont="1" applyFill="1" applyBorder="1" applyAlignment="1">
      <alignment horizontal="right"/>
    </xf>
    <xf numFmtId="164" fontId="43" fillId="0" borderId="0" xfId="0" applyNumberFormat="1" applyFont="1" applyFill="1" applyBorder="1" applyAlignment="1">
      <alignment horizontal="right"/>
    </xf>
    <xf numFmtId="0" fontId="6" fillId="0" borderId="0" xfId="0" applyFont="1" applyFill="1" applyBorder="1" applyAlignment="1">
      <alignment horizontal="right"/>
    </xf>
    <xf numFmtId="0" fontId="43" fillId="0" borderId="23" xfId="0" applyFont="1" applyFill="1" applyBorder="1" applyAlignment="1">
      <alignment horizontal="right"/>
    </xf>
    <xf numFmtId="0" fontId="43" fillId="0" borderId="0" xfId="0" applyFont="1" applyBorder="1" applyAlignment="1">
      <alignment horizontal="right"/>
    </xf>
    <xf numFmtId="164" fontId="43" fillId="0" borderId="0" xfId="0" applyNumberFormat="1" applyFont="1" applyBorder="1" applyAlignment="1">
      <alignment horizontal="right"/>
    </xf>
    <xf numFmtId="0" fontId="6" fillId="0" borderId="0" xfId="0" applyFont="1" applyBorder="1" applyAlignment="1">
      <alignment horizontal="right"/>
    </xf>
    <xf numFmtId="0" fontId="43" fillId="0" borderId="23" xfId="0" applyFont="1" applyBorder="1" applyAlignment="1">
      <alignment horizontal="right"/>
    </xf>
    <xf numFmtId="0" fontId="9" fillId="0" borderId="22" xfId="0" applyFont="1" applyFill="1" applyBorder="1" applyAlignment="1">
      <alignment vertical="center" wrapText="1"/>
    </xf>
    <xf numFmtId="3" fontId="43"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43" fillId="0" borderId="23" xfId="0" applyNumberFormat="1" applyFont="1" applyFill="1" applyBorder="1" applyAlignment="1">
      <alignment horizontal="right"/>
    </xf>
    <xf numFmtId="3" fontId="2" fillId="0" borderId="0" xfId="0" applyNumberFormat="1" applyFont="1" applyFill="1" applyBorder="1" applyAlignment="1">
      <alignment horizontal="right"/>
    </xf>
    <xf numFmtId="3" fontId="5" fillId="0" borderId="0" xfId="0" applyNumberFormat="1" applyFont="1" applyFill="1" applyBorder="1" applyAlignment="1">
      <alignment horizontal="right"/>
    </xf>
    <xf numFmtId="3" fontId="2" fillId="0" borderId="23" xfId="0" applyNumberFormat="1" applyFont="1" applyFill="1" applyBorder="1" applyAlignment="1">
      <alignment horizontal="right"/>
    </xf>
    <xf numFmtId="4"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4" fontId="5" fillId="0" borderId="0" xfId="0" applyNumberFormat="1" applyFont="1" applyFill="1" applyBorder="1" applyAlignment="1">
      <alignment horizontal="right"/>
    </xf>
    <xf numFmtId="4" fontId="2" fillId="0" borderId="23" xfId="0" applyNumberFormat="1" applyFont="1" applyFill="1" applyBorder="1" applyAlignment="1">
      <alignment horizontal="right"/>
    </xf>
    <xf numFmtId="3" fontId="43" fillId="0" borderId="0" xfId="0" applyNumberFormat="1" applyFont="1" applyBorder="1" applyAlignment="1">
      <alignment horizontal="right"/>
    </xf>
    <xf numFmtId="3" fontId="6" fillId="0" borderId="0" xfId="0" applyNumberFormat="1" applyFont="1" applyBorder="1" applyAlignment="1">
      <alignment horizontal="right"/>
    </xf>
    <xf numFmtId="3" fontId="43" fillId="0" borderId="23" xfId="0" applyNumberFormat="1" applyFont="1" applyBorder="1" applyAlignment="1">
      <alignment horizontal="right"/>
    </xf>
    <xf numFmtId="0" fontId="2" fillId="0" borderId="22" xfId="0" applyFont="1" applyFill="1" applyBorder="1" applyAlignment="1">
      <alignment vertical="center" wrapText="1"/>
    </xf>
    <xf numFmtId="0" fontId="2" fillId="0" borderId="0" xfId="0" applyFont="1" applyFill="1" applyBorder="1" applyAlignment="1">
      <alignment horizontal="right"/>
    </xf>
    <xf numFmtId="0" fontId="2" fillId="0" borderId="23" xfId="0" applyFont="1" applyFill="1" applyBorder="1" applyAlignment="1">
      <alignment horizontal="right"/>
    </xf>
    <xf numFmtId="3" fontId="6" fillId="0" borderId="23" xfId="0" applyNumberFormat="1" applyFont="1" applyBorder="1" applyAlignment="1">
      <alignment horizontal="right"/>
    </xf>
    <xf numFmtId="0" fontId="6" fillId="0" borderId="6" xfId="0" applyFont="1" applyFill="1" applyBorder="1" applyAlignment="1">
      <alignment vertical="center" wrapText="1"/>
    </xf>
    <xf numFmtId="0" fontId="5" fillId="0" borderId="20" xfId="0" applyFont="1" applyFill="1" applyBorder="1" applyAlignment="1">
      <alignment vertical="center" wrapText="1"/>
    </xf>
    <xf numFmtId="3" fontId="6" fillId="0" borderId="20" xfId="0" applyNumberFormat="1" applyFont="1" applyBorder="1" applyAlignment="1">
      <alignment horizontal="right"/>
    </xf>
    <xf numFmtId="164" fontId="6" fillId="0" borderId="20" xfId="0" applyNumberFormat="1" applyFont="1" applyBorder="1" applyAlignment="1">
      <alignment horizontal="right"/>
    </xf>
    <xf numFmtId="3" fontId="6" fillId="0" borderId="21" xfId="0" applyNumberFormat="1" applyFont="1" applyBorder="1" applyAlignment="1">
      <alignment horizontal="right"/>
    </xf>
    <xf numFmtId="0" fontId="43" fillId="0" borderId="0" xfId="132" applyFont="1" applyBorder="1"/>
    <xf numFmtId="3" fontId="43" fillId="0" borderId="0" xfId="132" applyNumberFormat="1" applyFont="1" applyBorder="1" applyAlignment="1">
      <alignment horizontal="center"/>
    </xf>
    <xf numFmtId="0" fontId="6" fillId="0" borderId="0" xfId="132" applyFont="1" applyAlignment="1">
      <alignment horizontal="center"/>
    </xf>
    <xf numFmtId="0" fontId="43" fillId="0" borderId="3" xfId="132" applyFont="1" applyFill="1" applyBorder="1" applyAlignment="1">
      <alignment vertical="center" wrapText="1"/>
    </xf>
    <xf numFmtId="0" fontId="43" fillId="0" borderId="4" xfId="132" applyFont="1" applyFill="1" applyBorder="1" applyAlignment="1">
      <alignment vertical="center" wrapText="1"/>
    </xf>
    <xf numFmtId="0" fontId="43" fillId="0" borderId="18" xfId="132" applyFont="1" applyBorder="1" applyAlignment="1">
      <alignment horizontal="center" vertical="center" wrapText="1"/>
    </xf>
    <xf numFmtId="0" fontId="6" fillId="0" borderId="18" xfId="132" applyFont="1" applyBorder="1" applyAlignment="1">
      <alignment horizontal="center" vertical="center" wrapText="1"/>
    </xf>
    <xf numFmtId="0" fontId="6" fillId="0" borderId="18" xfId="132" applyFont="1" applyFill="1" applyBorder="1" applyAlignment="1">
      <alignment vertical="center"/>
    </xf>
    <xf numFmtId="0" fontId="6" fillId="0" borderId="18" xfId="117" applyFont="1" applyFill="1" applyBorder="1" applyAlignment="1">
      <alignment vertical="center" wrapText="1"/>
    </xf>
    <xf numFmtId="3" fontId="6" fillId="0" borderId="18" xfId="132" applyNumberFormat="1" applyFont="1" applyFill="1" applyBorder="1" applyAlignment="1">
      <alignment horizontal="center" vertical="center"/>
    </xf>
    <xf numFmtId="0" fontId="43" fillId="0" borderId="18" xfId="132" applyFont="1" applyFill="1" applyBorder="1" applyAlignment="1">
      <alignment vertical="center"/>
    </xf>
    <xf numFmtId="3" fontId="43" fillId="0" borderId="18" xfId="132" applyNumberFormat="1" applyFont="1" applyFill="1" applyBorder="1" applyAlignment="1">
      <alignment horizontal="left" vertical="top" wrapText="1"/>
    </xf>
    <xf numFmtId="3" fontId="43" fillId="43" borderId="18" xfId="132" applyNumberFormat="1" applyFont="1" applyFill="1" applyBorder="1" applyAlignment="1">
      <alignment horizontal="center"/>
    </xf>
    <xf numFmtId="3" fontId="6" fillId="43" borderId="18" xfId="132" applyNumberFormat="1" applyFont="1" applyFill="1" applyBorder="1" applyAlignment="1">
      <alignment horizontal="center"/>
    </xf>
    <xf numFmtId="0" fontId="43" fillId="0" borderId="18" xfId="132" applyFont="1" applyBorder="1" applyAlignment="1">
      <alignment horizontal="center"/>
    </xf>
    <xf numFmtId="0" fontId="6" fillId="0" borderId="18" xfId="132" applyFont="1" applyBorder="1" applyAlignment="1">
      <alignment horizontal="center"/>
    </xf>
    <xf numFmtId="1" fontId="43" fillId="0" borderId="18" xfId="132" applyNumberFormat="1" applyFont="1" applyBorder="1" applyAlignment="1">
      <alignment horizontal="center"/>
    </xf>
    <xf numFmtId="3" fontId="43" fillId="0" borderId="18" xfId="132" applyNumberFormat="1" applyFont="1" applyFill="1" applyBorder="1" applyAlignment="1">
      <alignment horizontal="left" vertical="center" wrapText="1"/>
    </xf>
    <xf numFmtId="3" fontId="43" fillId="0" borderId="18" xfId="132" applyNumberFormat="1" applyFont="1" applyFill="1" applyBorder="1" applyAlignment="1">
      <alignment horizontal="center" vertical="center"/>
    </xf>
    <xf numFmtId="0" fontId="43" fillId="0" borderId="18" xfId="117" applyFont="1" applyBorder="1" applyAlignment="1">
      <alignment vertical="center" wrapText="1"/>
    </xf>
    <xf numFmtId="3" fontId="43" fillId="0" borderId="18" xfId="132" applyNumberFormat="1" applyFont="1" applyBorder="1" applyAlignment="1">
      <alignment horizontal="center" vertical="center"/>
    </xf>
    <xf numFmtId="3" fontId="6" fillId="0" borderId="18" xfId="132" applyNumberFormat="1" applyFont="1" applyBorder="1" applyAlignment="1">
      <alignment horizontal="center" vertical="center"/>
    </xf>
    <xf numFmtId="0" fontId="43" fillId="0" borderId="18" xfId="117" applyFont="1" applyBorder="1" applyAlignment="1">
      <alignment wrapText="1"/>
    </xf>
    <xf numFmtId="3" fontId="43" fillId="0" borderId="18" xfId="132" applyNumberFormat="1" applyFont="1" applyBorder="1" applyAlignment="1">
      <alignment horizontal="center"/>
    </xf>
    <xf numFmtId="3" fontId="6" fillId="0" borderId="18" xfId="132" applyNumberFormat="1" applyFont="1" applyBorder="1" applyAlignment="1">
      <alignment horizontal="center"/>
    </xf>
    <xf numFmtId="0" fontId="43" fillId="0" borderId="18" xfId="117" applyFont="1" applyFill="1" applyBorder="1" applyAlignment="1">
      <alignment vertical="center" wrapText="1"/>
    </xf>
    <xf numFmtId="0" fontId="43" fillId="0" borderId="18" xfId="132" applyFont="1" applyBorder="1"/>
    <xf numFmtId="0" fontId="43" fillId="0" borderId="0" xfId="0" applyFont="1" applyFill="1" applyAlignment="1">
      <alignment horizontal="right"/>
    </xf>
    <xf numFmtId="0" fontId="102" fillId="0" borderId="0" xfId="132" applyFont="1" applyAlignment="1"/>
    <xf numFmtId="0" fontId="43" fillId="0" borderId="0" xfId="0" applyFont="1" applyAlignment="1">
      <alignment horizontal="center" wrapText="1"/>
    </xf>
    <xf numFmtId="0" fontId="43" fillId="0" borderId="0" xfId="0" applyFont="1" applyAlignment="1">
      <alignment horizontal="center"/>
    </xf>
    <xf numFmtId="0" fontId="6" fillId="0" borderId="0" xfId="0" applyFont="1" applyAlignment="1">
      <alignment horizontal="center"/>
    </xf>
    <xf numFmtId="0" fontId="43" fillId="0" borderId="18" xfId="0" applyFont="1" applyBorder="1" applyAlignment="1">
      <alignment vertical="center" wrapText="1"/>
    </xf>
    <xf numFmtId="0" fontId="4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2" fillId="0" borderId="22" xfId="0" applyFont="1" applyBorder="1" applyAlignment="1">
      <alignment vertical="center" wrapText="1"/>
    </xf>
    <xf numFmtId="0" fontId="43" fillId="0" borderId="2" xfId="0" applyFont="1" applyBorder="1" applyAlignment="1">
      <alignment horizontal="center" vertical="center" wrapText="1"/>
    </xf>
    <xf numFmtId="0" fontId="43"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43" fillId="0" borderId="22" xfId="0" applyFont="1" applyBorder="1" applyAlignment="1">
      <alignment horizontal="left" vertical="center" wrapText="1" indent="2"/>
    </xf>
    <xf numFmtId="0" fontId="43" fillId="0" borderId="22" xfId="0" applyFont="1" applyBorder="1" applyAlignment="1">
      <alignment vertical="center" wrapText="1"/>
    </xf>
    <xf numFmtId="164" fontId="43" fillId="0" borderId="22" xfId="0" applyNumberFormat="1" applyFont="1" applyBorder="1" applyAlignment="1">
      <alignment vertical="center" wrapText="1"/>
    </xf>
    <xf numFmtId="0" fontId="43" fillId="0" borderId="0" xfId="0" applyFont="1" applyBorder="1" applyAlignment="1">
      <alignment horizontal="right" vertical="center" wrapText="1"/>
    </xf>
    <xf numFmtId="166" fontId="6" fillId="0" borderId="0" xfId="0" applyNumberFormat="1" applyFont="1" applyBorder="1" applyAlignment="1">
      <alignment horizontal="right" vertical="center" wrapText="1"/>
    </xf>
    <xf numFmtId="0" fontId="2" fillId="0" borderId="22" xfId="0" applyFont="1" applyBorder="1" applyAlignment="1">
      <alignment horizontal="left" vertical="center" wrapText="1" indent="2"/>
    </xf>
    <xf numFmtId="0" fontId="2" fillId="0" borderId="22" xfId="0" applyFont="1" applyBorder="1" applyAlignment="1">
      <alignment vertical="center" wrapText="1"/>
    </xf>
    <xf numFmtId="4" fontId="2" fillId="0" borderId="22" xfId="0" applyNumberFormat="1" applyFont="1" applyBorder="1" applyAlignment="1">
      <alignment vertical="center" wrapText="1"/>
    </xf>
    <xf numFmtId="3" fontId="43" fillId="0" borderId="22" xfId="0" applyNumberFormat="1" applyFont="1" applyBorder="1" applyAlignment="1">
      <alignment vertical="center" wrapText="1"/>
    </xf>
    <xf numFmtId="3" fontId="43" fillId="0" borderId="0" xfId="0" applyNumberFormat="1" applyFont="1" applyBorder="1" applyAlignment="1">
      <alignment horizontal="right" vertical="center"/>
    </xf>
    <xf numFmtId="3" fontId="6" fillId="0" borderId="0" xfId="0" applyNumberFormat="1" applyFont="1" applyBorder="1" applyAlignment="1">
      <alignment horizontal="right" vertical="center"/>
    </xf>
    <xf numFmtId="3" fontId="43" fillId="0" borderId="23" xfId="0" applyNumberFormat="1" applyFont="1" applyBorder="1" applyAlignment="1">
      <alignment horizontal="right" vertical="center"/>
    </xf>
    <xf numFmtId="164" fontId="43" fillId="0" borderId="0"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43" fillId="0" borderId="23" xfId="0" applyNumberFormat="1" applyFont="1" applyBorder="1" applyAlignment="1">
      <alignment horizontal="right" vertical="center"/>
    </xf>
    <xf numFmtId="3" fontId="43" fillId="0" borderId="0"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3" fontId="43" fillId="0" borderId="23" xfId="0" applyNumberFormat="1" applyFont="1" applyBorder="1" applyAlignment="1">
      <alignment horizontal="right" vertical="center" wrapText="1"/>
    </xf>
    <xf numFmtId="3" fontId="2" fillId="0" borderId="22" xfId="0" applyNumberFormat="1" applyFont="1" applyBorder="1" applyAlignment="1">
      <alignment vertical="center" wrapText="1"/>
    </xf>
    <xf numFmtId="0" fontId="6" fillId="0" borderId="22" xfId="0" applyFont="1" applyBorder="1" applyAlignment="1">
      <alignment vertical="center" wrapText="1"/>
    </xf>
    <xf numFmtId="0" fontId="5" fillId="0" borderId="22" xfId="0" applyFont="1" applyBorder="1" applyAlignment="1">
      <alignment vertical="center" wrapText="1"/>
    </xf>
    <xf numFmtId="3" fontId="6" fillId="0" borderId="22" xfId="0" applyNumberFormat="1" applyFont="1" applyBorder="1" applyAlignment="1">
      <alignment vertical="center" wrapText="1"/>
    </xf>
    <xf numFmtId="3" fontId="6" fillId="0" borderId="23" xfId="0" applyNumberFormat="1" applyFont="1" applyBorder="1" applyAlignment="1">
      <alignment horizontal="right" vertical="center"/>
    </xf>
    <xf numFmtId="1" fontId="43" fillId="0" borderId="0" xfId="0" applyNumberFormat="1" applyFont="1" applyBorder="1" applyAlignment="1">
      <alignment horizontal="right"/>
    </xf>
    <xf numFmtId="0" fontId="9" fillId="0" borderId="22" xfId="0" applyFont="1" applyBorder="1" applyAlignment="1">
      <alignment vertical="center" wrapText="1"/>
    </xf>
    <xf numFmtId="3" fontId="9" fillId="0" borderId="0" xfId="0" applyNumberFormat="1" applyFont="1" applyBorder="1" applyAlignment="1">
      <alignment horizontal="right"/>
    </xf>
    <xf numFmtId="3" fontId="10" fillId="0" borderId="0" xfId="0" applyNumberFormat="1" applyFont="1" applyBorder="1" applyAlignment="1">
      <alignment horizontal="right"/>
    </xf>
    <xf numFmtId="3" fontId="10" fillId="0" borderId="23" xfId="0" applyNumberFormat="1" applyFont="1" applyBorder="1" applyAlignment="1">
      <alignment horizontal="right"/>
    </xf>
    <xf numFmtId="3" fontId="2" fillId="0" borderId="0" xfId="0" applyNumberFormat="1" applyFont="1" applyBorder="1" applyAlignment="1">
      <alignment horizontal="right"/>
    </xf>
    <xf numFmtId="3" fontId="5" fillId="0" borderId="0" xfId="0" applyNumberFormat="1" applyFont="1" applyBorder="1" applyAlignment="1">
      <alignment horizontal="right"/>
    </xf>
    <xf numFmtId="3" fontId="2" fillId="0" borderId="23" xfId="0" applyNumberFormat="1" applyFont="1" applyBorder="1" applyAlignment="1">
      <alignment horizontal="right"/>
    </xf>
    <xf numFmtId="1" fontId="6" fillId="0" borderId="0" xfId="0" applyNumberFormat="1" applyFont="1" applyBorder="1" applyAlignment="1">
      <alignment horizontal="right"/>
    </xf>
    <xf numFmtId="1" fontId="43" fillId="0" borderId="23" xfId="0" applyNumberFormat="1" applyFont="1" applyBorder="1" applyAlignment="1">
      <alignment horizontal="right"/>
    </xf>
    <xf numFmtId="0" fontId="6" fillId="0" borderId="6" xfId="0" applyFont="1" applyBorder="1" applyAlignment="1">
      <alignment vertical="center" wrapText="1"/>
    </xf>
    <xf numFmtId="0" fontId="5" fillId="0" borderId="6" xfId="0" applyFont="1" applyBorder="1" applyAlignment="1">
      <alignment vertical="center" wrapText="1"/>
    </xf>
    <xf numFmtId="3" fontId="6" fillId="0" borderId="6" xfId="0" applyNumberFormat="1" applyFont="1" applyBorder="1" applyAlignment="1">
      <alignment vertical="center" wrapText="1"/>
    </xf>
    <xf numFmtId="0" fontId="43" fillId="0" borderId="0" xfId="0" applyFont="1" applyAlignment="1">
      <alignment horizontal="right"/>
    </xf>
    <xf numFmtId="3" fontId="68" fillId="0" borderId="0" xfId="0" applyNumberFormat="1" applyFont="1"/>
    <xf numFmtId="0" fontId="43" fillId="0" borderId="3" xfId="0" applyFont="1" applyBorder="1" applyAlignment="1">
      <alignment vertical="center" wrapText="1"/>
    </xf>
    <xf numFmtId="0" fontId="43" fillId="0" borderId="4" xfId="0" applyFont="1" applyBorder="1" applyAlignment="1">
      <alignment vertical="center" wrapText="1"/>
    </xf>
    <xf numFmtId="0" fontId="6" fillId="0" borderId="18" xfId="0" applyFont="1" applyBorder="1" applyAlignment="1">
      <alignment vertical="center"/>
    </xf>
    <xf numFmtId="0" fontId="6" fillId="0" borderId="18" xfId="117" applyFont="1" applyBorder="1" applyAlignment="1">
      <alignment vertical="center" wrapText="1"/>
    </xf>
    <xf numFmtId="3" fontId="6" fillId="0" borderId="18" xfId="0" applyNumberFormat="1" applyFont="1" applyBorder="1" applyAlignment="1">
      <alignment horizontal="center" vertical="center"/>
    </xf>
    <xf numFmtId="0" fontId="43" fillId="0" borderId="18" xfId="0" applyFont="1" applyBorder="1" applyAlignment="1">
      <alignment vertical="center"/>
    </xf>
    <xf numFmtId="3" fontId="43" fillId="0" borderId="18" xfId="0" applyNumberFormat="1" applyFont="1" applyBorder="1" applyAlignment="1">
      <alignment horizontal="left" vertical="top" wrapText="1"/>
    </xf>
    <xf numFmtId="3" fontId="43" fillId="0" borderId="18" xfId="0" applyNumberFormat="1" applyFont="1" applyBorder="1" applyAlignment="1">
      <alignment horizontal="center"/>
    </xf>
    <xf numFmtId="3" fontId="6" fillId="0" borderId="18" xfId="0" applyNumberFormat="1" applyFont="1" applyBorder="1" applyAlignment="1">
      <alignment horizontal="center"/>
    </xf>
    <xf numFmtId="0" fontId="43" fillId="0" borderId="18" xfId="0" applyFont="1" applyBorder="1" applyAlignment="1">
      <alignment horizontal="center" vertical="center"/>
    </xf>
    <xf numFmtId="0" fontId="6" fillId="0" borderId="18" xfId="0" applyFont="1" applyBorder="1" applyAlignment="1">
      <alignment horizontal="center" vertical="center"/>
    </xf>
    <xf numFmtId="3" fontId="43" fillId="0" borderId="18" xfId="0" applyNumberFormat="1" applyFont="1" applyBorder="1" applyAlignment="1">
      <alignment horizontal="left" vertical="center" wrapText="1"/>
    </xf>
    <xf numFmtId="3" fontId="43" fillId="0" borderId="18" xfId="0" applyNumberFormat="1" applyFont="1" applyBorder="1" applyAlignment="1">
      <alignment horizontal="center" vertical="center"/>
    </xf>
    <xf numFmtId="3" fontId="43" fillId="0" borderId="18" xfId="0" quotePrefix="1" applyNumberFormat="1" applyFont="1" applyBorder="1" applyAlignment="1">
      <alignment horizontal="center" vertical="center"/>
    </xf>
    <xf numFmtId="0" fontId="43" fillId="0" borderId="18" xfId="0" applyFont="1" applyBorder="1"/>
    <xf numFmtId="3" fontId="7" fillId="0" borderId="0" xfId="2" applyNumberFormat="1" applyFont="1" applyFill="1"/>
    <xf numFmtId="0" fontId="2" fillId="0" borderId="0" xfId="62" applyFont="1" applyAlignment="1">
      <alignment horizontal="left" wrapText="1"/>
    </xf>
    <xf numFmtId="3" fontId="2" fillId="0" borderId="0" xfId="139" applyNumberFormat="1" applyFont="1"/>
    <xf numFmtId="3" fontId="5" fillId="0" borderId="0" xfId="139" applyNumberFormat="1" applyFont="1"/>
    <xf numFmtId="3" fontId="2" fillId="0" borderId="2" xfId="139" applyNumberFormat="1" applyFont="1" applyBorder="1"/>
    <xf numFmtId="3" fontId="9" fillId="0" borderId="1" xfId="139" applyNumberFormat="1" applyFont="1" applyBorder="1" applyAlignment="1">
      <alignment horizontal="center" vertical="center"/>
    </xf>
    <xf numFmtId="3" fontId="10" fillId="0" borderId="1" xfId="139" applyNumberFormat="1" applyFont="1" applyBorder="1" applyAlignment="1">
      <alignment horizontal="center" vertical="center"/>
    </xf>
    <xf numFmtId="3" fontId="2" fillId="0" borderId="6" xfId="139" applyNumberFormat="1" applyFont="1" applyBorder="1"/>
    <xf numFmtId="164" fontId="9" fillId="0" borderId="5" xfId="139" applyNumberFormat="1" applyFont="1" applyBorder="1" applyAlignment="1">
      <alignment horizontal="center" vertical="center"/>
    </xf>
    <xf numFmtId="164" fontId="10" fillId="0" borderId="5" xfId="139" applyNumberFormat="1" applyFont="1" applyBorder="1" applyAlignment="1">
      <alignment horizontal="center" vertical="center"/>
    </xf>
    <xf numFmtId="164" fontId="10" fillId="0" borderId="0" xfId="139" applyNumberFormat="1" applyFont="1" applyBorder="1" applyAlignment="1">
      <alignment horizontal="center" vertical="center"/>
    </xf>
    <xf numFmtId="164" fontId="9" fillId="0" borderId="0" xfId="139" applyNumberFormat="1" applyFont="1" applyBorder="1" applyAlignment="1">
      <alignment horizontal="center" vertical="center"/>
    </xf>
    <xf numFmtId="164" fontId="9" fillId="0" borderId="0" xfId="139" applyNumberFormat="1" applyFont="1" applyBorder="1" applyAlignment="1">
      <alignment horizontal="right" vertical="center"/>
    </xf>
    <xf numFmtId="0" fontId="2" fillId="0" borderId="0" xfId="139" applyFont="1" applyFill="1" applyAlignment="1">
      <alignment vertical="center"/>
    </xf>
    <xf numFmtId="0" fontId="2" fillId="0" borderId="0" xfId="139" applyFont="1" applyAlignment="1">
      <alignment vertical="center" wrapText="1"/>
    </xf>
    <xf numFmtId="164" fontId="2" fillId="0" borderId="0" xfId="139" applyNumberFormat="1" applyFont="1" applyBorder="1" applyAlignment="1">
      <alignment horizontal="right" vertical="center"/>
    </xf>
    <xf numFmtId="3" fontId="10" fillId="0" borderId="0" xfId="139" applyNumberFormat="1" applyFont="1" applyBorder="1" applyAlignment="1">
      <alignment horizontal="right" vertical="center"/>
    </xf>
    <xf numFmtId="3" fontId="7" fillId="0" borderId="0" xfId="139" applyNumberFormat="1" applyFont="1"/>
    <xf numFmtId="3" fontId="3" fillId="0" borderId="0" xfId="62" applyNumberFormat="1" applyFont="1" applyAlignment="1">
      <alignment horizontal="center" wrapText="1"/>
    </xf>
    <xf numFmtId="3" fontId="7" fillId="0" borderId="1" xfId="139" applyNumberFormat="1" applyFont="1" applyBorder="1" applyAlignment="1">
      <alignment horizontal="center" vertical="center" wrapText="1"/>
    </xf>
    <xf numFmtId="3" fontId="7" fillId="0" borderId="5" xfId="139" applyNumberFormat="1" applyFont="1" applyBorder="1" applyAlignment="1">
      <alignment horizontal="center" vertical="center" wrapText="1"/>
    </xf>
    <xf numFmtId="3" fontId="104" fillId="0" borderId="0" xfId="139" applyNumberFormat="1" applyFont="1" applyAlignment="1">
      <alignment vertical="top"/>
    </xf>
    <xf numFmtId="3" fontId="7" fillId="0" borderId="0" xfId="139" applyNumberFormat="1" applyFont="1" applyAlignment="1">
      <alignment vertical="top"/>
    </xf>
    <xf numFmtId="3" fontId="3" fillId="0" borderId="0" xfId="62" applyNumberFormat="1" applyFont="1" applyBorder="1"/>
    <xf numFmtId="3" fontId="3" fillId="0" borderId="0" xfId="62" applyNumberFormat="1" applyFont="1" applyFill="1" applyAlignment="1">
      <alignment horizontal="left" vertical="top"/>
    </xf>
    <xf numFmtId="3" fontId="7" fillId="0" borderId="0" xfId="62" applyNumberFormat="1" applyFont="1" applyFill="1" applyAlignment="1">
      <alignment horizontal="left" vertical="top"/>
    </xf>
    <xf numFmtId="0" fontId="105" fillId="0" borderId="7" xfId="117" applyFont="1" applyFill="1" applyBorder="1" applyAlignment="1">
      <alignment horizontal="center" vertical="center" wrapText="1"/>
    </xf>
    <xf numFmtId="0" fontId="105" fillId="0" borderId="0" xfId="117" applyFont="1" applyFill="1" applyBorder="1" applyAlignment="1">
      <alignment vertical="center" wrapText="1"/>
    </xf>
    <xf numFmtId="3" fontId="106" fillId="0" borderId="0" xfId="62" applyNumberFormat="1" applyFont="1"/>
    <xf numFmtId="0" fontId="89" fillId="0" borderId="0" xfId="139" applyFont="1" applyAlignment="1">
      <alignment horizontal="center"/>
    </xf>
    <xf numFmtId="3" fontId="6" fillId="0" borderId="0" xfId="139" applyNumberFormat="1" applyFont="1" applyAlignment="1">
      <alignment horizontal="center" vertical="center"/>
    </xf>
    <xf numFmtId="3" fontId="6" fillId="0" borderId="0" xfId="139" applyNumberFormat="1" applyFont="1" applyAlignment="1">
      <alignment horizontal="center"/>
    </xf>
    <xf numFmtId="4" fontId="3" fillId="0" borderId="1" xfId="2" applyNumberFormat="1" applyFont="1" applyFill="1" applyBorder="1" applyAlignment="1">
      <alignment horizontal="center" vertical="center" wrapText="1"/>
    </xf>
    <xf numFmtId="4" fontId="10" fillId="0" borderId="5" xfId="3" applyNumberFormat="1" applyFont="1" applyFill="1" applyBorder="1" applyAlignment="1">
      <alignment horizontal="center" vertical="center" wrapText="1"/>
    </xf>
    <xf numFmtId="4" fontId="7" fillId="0" borderId="1" xfId="2" applyNumberFormat="1" applyFont="1" applyFill="1" applyBorder="1" applyAlignment="1">
      <alignment horizontal="center" vertical="center" wrapText="1"/>
    </xf>
    <xf numFmtId="4" fontId="9" fillId="0" borderId="5" xfId="3" applyNumberFormat="1" applyFont="1" applyFill="1" applyBorder="1" applyAlignment="1">
      <alignment horizontal="center" vertical="center" wrapText="1"/>
    </xf>
    <xf numFmtId="4" fontId="7" fillId="0" borderId="1" xfId="2" applyNumberFormat="1" applyFont="1" applyFill="1" applyBorder="1" applyAlignment="1">
      <alignment horizontal="center" vertical="center"/>
    </xf>
    <xf numFmtId="4" fontId="7" fillId="0" borderId="5" xfId="2" applyNumberFormat="1" applyFont="1" applyFill="1" applyBorder="1" applyAlignment="1">
      <alignment horizontal="center" vertical="center"/>
    </xf>
    <xf numFmtId="4" fontId="7" fillId="0" borderId="5" xfId="2" applyNumberFormat="1" applyFont="1" applyFill="1" applyBorder="1" applyAlignment="1">
      <alignment horizontal="center" vertical="center" wrapText="1"/>
    </xf>
    <xf numFmtId="4" fontId="6" fillId="0" borderId="0" xfId="2" applyNumberFormat="1" applyFont="1" applyFill="1" applyAlignment="1">
      <alignment horizontal="center"/>
    </xf>
    <xf numFmtId="164" fontId="3" fillId="0" borderId="1" xfId="2" applyNumberFormat="1" applyFont="1" applyFill="1" applyBorder="1" applyAlignment="1">
      <alignment horizontal="center" vertical="center" wrapText="1"/>
    </xf>
    <xf numFmtId="164" fontId="10" fillId="0" borderId="5" xfId="3" applyNumberFormat="1" applyFont="1" applyFill="1" applyBorder="1" applyAlignment="1">
      <alignment horizontal="center" vertical="center" wrapText="1"/>
    </xf>
    <xf numFmtId="0" fontId="6" fillId="0" borderId="0" xfId="117" applyFont="1" applyFill="1" applyAlignment="1">
      <alignment horizontal="center" vertical="center" wrapText="1"/>
    </xf>
    <xf numFmtId="0" fontId="2" fillId="0" borderId="0" xfId="62" applyNumberFormat="1" applyFont="1" applyAlignment="1">
      <alignment vertical="top" wrapText="1"/>
    </xf>
    <xf numFmtId="0" fontId="5" fillId="0" borderId="0" xfId="115" applyFont="1" applyAlignment="1">
      <alignment horizontal="center"/>
    </xf>
    <xf numFmtId="0" fontId="2" fillId="0" borderId="0" xfId="62" applyFont="1" applyAlignment="1">
      <alignment horizontal="justify" vertical="top" wrapText="1"/>
    </xf>
    <xf numFmtId="0" fontId="2" fillId="0" borderId="0" xfId="62" applyNumberFormat="1" applyFont="1" applyAlignment="1">
      <alignment horizontal="justify" vertical="top" wrapText="1"/>
    </xf>
    <xf numFmtId="0" fontId="2" fillId="0" borderId="18" xfId="115" applyFont="1" applyBorder="1" applyAlignment="1">
      <alignment horizontal="center" vertical="center"/>
    </xf>
    <xf numFmtId="0" fontId="2" fillId="0" borderId="3" xfId="115" applyFont="1" applyBorder="1" applyAlignment="1">
      <alignment horizontal="center" vertical="center" wrapText="1"/>
    </xf>
    <xf numFmtId="0" fontId="2" fillId="0" borderId="4" xfId="115" applyFont="1" applyBorder="1" applyAlignment="1">
      <alignment horizontal="center" vertical="center" wrapText="1"/>
    </xf>
    <xf numFmtId="0" fontId="2" fillId="0" borderId="0" xfId="115" applyNumberFormat="1" applyFont="1" applyAlignment="1">
      <alignment vertical="top" wrapText="1"/>
    </xf>
    <xf numFmtId="0" fontId="2" fillId="0" borderId="0" xfId="115" applyNumberFormat="1" applyFont="1" applyFill="1" applyAlignment="1">
      <alignment vertical="top" wrapText="1"/>
    </xf>
    <xf numFmtId="0" fontId="2" fillId="0" borderId="18" xfId="115" applyFont="1" applyBorder="1" applyAlignment="1">
      <alignment horizontal="center" vertical="center" wrapText="1"/>
    </xf>
    <xf numFmtId="0" fontId="2" fillId="0" borderId="0" xfId="62" applyFont="1" applyAlignment="1">
      <alignment wrapText="1"/>
    </xf>
    <xf numFmtId="0" fontId="2" fillId="0" borderId="0" xfId="62" applyFont="1" applyAlignment="1">
      <alignment horizontal="left" wrapText="1"/>
    </xf>
    <xf numFmtId="0" fontId="43"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wrapText="1"/>
    </xf>
    <xf numFmtId="0" fontId="6" fillId="0" borderId="0" xfId="62" applyFont="1" applyAlignment="1">
      <alignment horizontal="center" wrapText="1"/>
    </xf>
    <xf numFmtId="0" fontId="2" fillId="0" borderId="0" xfId="62" applyFont="1" applyAlignment="1">
      <alignment horizontal="left"/>
    </xf>
    <xf numFmtId="0" fontId="6" fillId="0" borderId="0" xfId="0" applyFont="1" applyAlignment="1">
      <alignment horizontal="center" wrapText="1"/>
    </xf>
    <xf numFmtId="0" fontId="43" fillId="0" borderId="0" xfId="62" applyFont="1" applyAlignment="1">
      <alignment horizontal="left"/>
    </xf>
    <xf numFmtId="0" fontId="43" fillId="0" borderId="0" xfId="0" applyFont="1" applyAlignment="1">
      <alignment horizontal="left" wrapText="1"/>
    </xf>
    <xf numFmtId="0" fontId="10" fillId="0" borderId="0" xfId="0" applyFont="1" applyAlignment="1">
      <alignment horizontal="center" wrapText="1"/>
    </xf>
    <xf numFmtId="0" fontId="9" fillId="0" borderId="0" xfId="0" applyFont="1" applyAlignment="1">
      <alignment horizontal="left" vertical="top" wrapText="1"/>
    </xf>
    <xf numFmtId="0" fontId="43" fillId="0" borderId="0" xfId="0" applyFont="1" applyAlignment="1">
      <alignment horizontal="left" vertical="center" wrapText="1"/>
    </xf>
    <xf numFmtId="0" fontId="96" fillId="0" borderId="0" xfId="0" applyFont="1" applyAlignment="1">
      <alignment vertical="center" wrapText="1"/>
    </xf>
    <xf numFmtId="0" fontId="96" fillId="0" borderId="0" xfId="0" quotePrefix="1" applyFont="1" applyAlignment="1">
      <alignment horizontal="left" vertical="center" wrapText="1"/>
    </xf>
    <xf numFmtId="0" fontId="43" fillId="0" borderId="0" xfId="0" applyFont="1" applyFill="1" applyAlignment="1">
      <alignment horizontal="left" vertical="top" wrapText="1"/>
    </xf>
    <xf numFmtId="0" fontId="43" fillId="0" borderId="0" xfId="0" applyFont="1" applyFill="1" applyAlignment="1">
      <alignment horizontal="left" vertical="center" wrapText="1" indent="7"/>
    </xf>
    <xf numFmtId="0" fontId="100" fillId="0" borderId="0" xfId="0" applyFont="1" applyFill="1" applyAlignment="1">
      <alignment horizontal="left" vertical="center" wrapText="1" indent="7"/>
    </xf>
    <xf numFmtId="0" fontId="6" fillId="0" borderId="0" xfId="0" applyFont="1" applyAlignment="1">
      <alignment horizontal="left" vertical="center"/>
    </xf>
    <xf numFmtId="0" fontId="43" fillId="0" borderId="0" xfId="0" applyFont="1" applyAlignment="1">
      <alignment horizontal="left" vertical="top" wrapText="1"/>
    </xf>
    <xf numFmtId="0" fontId="6" fillId="0" borderId="0" xfId="132" applyFont="1" applyAlignment="1">
      <alignment horizontal="center" vertical="center" wrapText="1"/>
    </xf>
    <xf numFmtId="0" fontId="6" fillId="0" borderId="0" xfId="0" applyFont="1" applyAlignment="1">
      <alignment horizontal="center" vertical="center" wrapText="1"/>
    </xf>
  </cellXfs>
  <cellStyles count="140">
    <cellStyle name="20% - Accent1" xfId="7" xr:uid="{00000000-0005-0000-0000-000000000000}"/>
    <cellStyle name="20% - Accent2" xfId="8" xr:uid="{00000000-0005-0000-0000-000001000000}"/>
    <cellStyle name="20% - Accent3" xfId="9" xr:uid="{00000000-0005-0000-0000-000002000000}"/>
    <cellStyle name="20% - Accent4" xfId="10" xr:uid="{00000000-0005-0000-0000-000003000000}"/>
    <cellStyle name="20% - Accent5" xfId="11" xr:uid="{00000000-0005-0000-0000-000004000000}"/>
    <cellStyle name="20% - Accent6" xfId="12" xr:uid="{00000000-0005-0000-0000-000005000000}"/>
    <cellStyle name="40% - Accent1" xfId="13" xr:uid="{00000000-0005-0000-0000-000006000000}"/>
    <cellStyle name="40% - Accent2" xfId="14" xr:uid="{00000000-0005-0000-0000-000007000000}"/>
    <cellStyle name="40% - Accent3" xfId="15" xr:uid="{00000000-0005-0000-0000-000008000000}"/>
    <cellStyle name="40% - Accent4" xfId="16" xr:uid="{00000000-0005-0000-0000-000009000000}"/>
    <cellStyle name="40% - Accent5" xfId="17" xr:uid="{00000000-0005-0000-0000-00000A000000}"/>
    <cellStyle name="40% - Accent6" xfId="18" xr:uid="{00000000-0005-0000-0000-00000B000000}"/>
    <cellStyle name="60% - Accent1" xfId="19" xr:uid="{00000000-0005-0000-0000-00000C000000}"/>
    <cellStyle name="60% - Accent2" xfId="20" xr:uid="{00000000-0005-0000-0000-00000D000000}"/>
    <cellStyle name="60% - Accent3" xfId="21" xr:uid="{00000000-0005-0000-0000-00000E000000}"/>
    <cellStyle name="60% - Accent4" xfId="22" xr:uid="{00000000-0005-0000-0000-00000F000000}"/>
    <cellStyle name="60% - Accent5" xfId="23" xr:uid="{00000000-0005-0000-0000-000010000000}"/>
    <cellStyle name="60% - Accent6" xfId="24" xr:uid="{00000000-0005-0000-0000-000011000000}"/>
    <cellStyle name="Accent1" xfId="25" xr:uid="{00000000-0005-0000-0000-000012000000}"/>
    <cellStyle name="Accent1 - 20%" xfId="26" xr:uid="{00000000-0005-0000-0000-000013000000}"/>
    <cellStyle name="Accent1 - 40%" xfId="27" xr:uid="{00000000-0005-0000-0000-000014000000}"/>
    <cellStyle name="Accent1 - 60%" xfId="28" xr:uid="{00000000-0005-0000-0000-000015000000}"/>
    <cellStyle name="Accent2" xfId="29" xr:uid="{00000000-0005-0000-0000-000016000000}"/>
    <cellStyle name="Accent2 - 20%" xfId="30" xr:uid="{00000000-0005-0000-0000-000017000000}"/>
    <cellStyle name="Accent2 - 40%" xfId="31" xr:uid="{00000000-0005-0000-0000-000018000000}"/>
    <cellStyle name="Accent2 - 60%" xfId="32" xr:uid="{00000000-0005-0000-0000-000019000000}"/>
    <cellStyle name="Accent3" xfId="33" xr:uid="{00000000-0005-0000-0000-00001A000000}"/>
    <cellStyle name="Accent3 - 20%" xfId="34" xr:uid="{00000000-0005-0000-0000-00001B000000}"/>
    <cellStyle name="Accent3 - 40%" xfId="35" xr:uid="{00000000-0005-0000-0000-00001C000000}"/>
    <cellStyle name="Accent3 - 60%" xfId="36" xr:uid="{00000000-0005-0000-0000-00001D000000}"/>
    <cellStyle name="Accent4" xfId="37" xr:uid="{00000000-0005-0000-0000-00001E000000}"/>
    <cellStyle name="Accent4 - 20%" xfId="38" xr:uid="{00000000-0005-0000-0000-00001F000000}"/>
    <cellStyle name="Accent4 - 40%" xfId="39" xr:uid="{00000000-0005-0000-0000-000020000000}"/>
    <cellStyle name="Accent4 - 60%" xfId="40" xr:uid="{00000000-0005-0000-0000-000021000000}"/>
    <cellStyle name="Accent5" xfId="41" xr:uid="{00000000-0005-0000-0000-000022000000}"/>
    <cellStyle name="Accent5 - 20%" xfId="42" xr:uid="{00000000-0005-0000-0000-000023000000}"/>
    <cellStyle name="Accent5 - 40%" xfId="43" xr:uid="{00000000-0005-0000-0000-000024000000}"/>
    <cellStyle name="Accent5 - 60%" xfId="44" xr:uid="{00000000-0005-0000-0000-000025000000}"/>
    <cellStyle name="Accent6" xfId="45" xr:uid="{00000000-0005-0000-0000-000026000000}"/>
    <cellStyle name="Accent6 - 20%" xfId="46" xr:uid="{00000000-0005-0000-0000-000027000000}"/>
    <cellStyle name="Accent6 - 40%" xfId="47" xr:uid="{00000000-0005-0000-0000-000028000000}"/>
    <cellStyle name="Accent6 - 60%" xfId="48" xr:uid="{00000000-0005-0000-0000-000029000000}"/>
    <cellStyle name="Bad" xfId="49" xr:uid="{00000000-0005-0000-0000-00002A000000}"/>
    <cellStyle name="Calculation" xfId="50" xr:uid="{00000000-0005-0000-0000-00002B000000}"/>
    <cellStyle name="Check Cell" xfId="51" xr:uid="{00000000-0005-0000-0000-00002C000000}"/>
    <cellStyle name="Emphasis 1" xfId="52" xr:uid="{00000000-0005-0000-0000-00002D000000}"/>
    <cellStyle name="Emphasis 2" xfId="53" xr:uid="{00000000-0005-0000-0000-00002E000000}"/>
    <cellStyle name="Emphasis 3" xfId="54" xr:uid="{00000000-0005-0000-0000-00002F000000}"/>
    <cellStyle name="Explanatory Text" xfId="55" xr:uid="{00000000-0005-0000-0000-000030000000}"/>
    <cellStyle name="Good" xfId="56" xr:uid="{00000000-0005-0000-0000-000031000000}"/>
    <cellStyle name="Heading 1" xfId="57" xr:uid="{00000000-0005-0000-0000-000032000000}"/>
    <cellStyle name="Heading 2" xfId="58" xr:uid="{00000000-0005-0000-0000-000033000000}"/>
    <cellStyle name="Heading 3" xfId="59" xr:uid="{00000000-0005-0000-0000-000034000000}"/>
    <cellStyle name="Heading 4" xfId="60" xr:uid="{00000000-0005-0000-0000-000035000000}"/>
    <cellStyle name="Input" xfId="61" xr:uid="{00000000-0005-0000-0000-000036000000}"/>
    <cellStyle name="Įprastas" xfId="0" builtinId="0"/>
    <cellStyle name="Įprastas 10" xfId="122" xr:uid="{00000000-0005-0000-0000-000038000000}"/>
    <cellStyle name="Įprastas 11" xfId="123" xr:uid="{00000000-0005-0000-0000-000039000000}"/>
    <cellStyle name="Įprastas 12" xfId="124" xr:uid="{00000000-0005-0000-0000-00003A000000}"/>
    <cellStyle name="Įprastas 13" xfId="125" xr:uid="{00000000-0005-0000-0000-00003B000000}"/>
    <cellStyle name="Įprastas 14" xfId="126" xr:uid="{00000000-0005-0000-0000-00003C000000}"/>
    <cellStyle name="Įprastas 15" xfId="127" xr:uid="{00000000-0005-0000-0000-00003D000000}"/>
    <cellStyle name="Įprastas 16" xfId="128" xr:uid="{00000000-0005-0000-0000-00003E000000}"/>
    <cellStyle name="Įprastas 17" xfId="129" xr:uid="{00000000-0005-0000-0000-00003F000000}"/>
    <cellStyle name="Įprastas 18" xfId="130" xr:uid="{00000000-0005-0000-0000-000040000000}"/>
    <cellStyle name="Įprastas 19" xfId="131" xr:uid="{00000000-0005-0000-0000-000041000000}"/>
    <cellStyle name="Įprastas 19 2" xfId="132" xr:uid="{00000000-0005-0000-0000-000042000000}"/>
    <cellStyle name="Įprastas 2" xfId="62" xr:uid="{00000000-0005-0000-0000-000043000000}"/>
    <cellStyle name="Įprastas 20" xfId="133" xr:uid="{00000000-0005-0000-0000-000044000000}"/>
    <cellStyle name="Įprastas 21" xfId="134" xr:uid="{00000000-0005-0000-0000-000045000000}"/>
    <cellStyle name="Įprastas 22" xfId="135" xr:uid="{AB5B61FD-8B45-4D1B-83AA-ABA5D02F2751}"/>
    <cellStyle name="Įprastas 23" xfId="136" xr:uid="{AD406DBB-C0F6-4931-99E4-BF9F12026E35}"/>
    <cellStyle name="Įprastas 24" xfId="137" xr:uid="{8F834F5C-352E-4DDC-A389-F9E664188D7C}"/>
    <cellStyle name="Įprastas 25" xfId="138" xr:uid="{5035C751-C67B-46CC-AFC3-8C12826CBEDE}"/>
    <cellStyle name="Įprastas 26" xfId="139" xr:uid="{EE0070FD-94BC-49E6-B629-DA3A4EE5C5F8}"/>
    <cellStyle name="Įprastas 3" xfId="111" xr:uid="{00000000-0005-0000-0000-000046000000}"/>
    <cellStyle name="Įprastas 4" xfId="112" xr:uid="{00000000-0005-0000-0000-000047000000}"/>
    <cellStyle name="Įprastas 5" xfId="113" xr:uid="{00000000-0005-0000-0000-000048000000}"/>
    <cellStyle name="Įprastas 6" xfId="118" xr:uid="{00000000-0005-0000-0000-000049000000}"/>
    <cellStyle name="Įprastas 7" xfId="119" xr:uid="{00000000-0005-0000-0000-00004A000000}"/>
    <cellStyle name="Įprastas 8" xfId="120" xr:uid="{00000000-0005-0000-0000-00004B000000}"/>
    <cellStyle name="Įprastas 9" xfId="121" xr:uid="{00000000-0005-0000-0000-00004C000000}"/>
    <cellStyle name="Linked Cell" xfId="63" xr:uid="{00000000-0005-0000-0000-00004D000000}"/>
    <cellStyle name="Neutral" xfId="64" xr:uid="{00000000-0005-0000-0000-00004E000000}"/>
    <cellStyle name="Normal_____3lentelė - 2,3,4 lapai_3_variantas" xfId="65" xr:uid="{00000000-0005-0000-0000-00004F000000}"/>
    <cellStyle name="Normal_2003 metų biudžetas.vasara" xfId="6" xr:uid="{00000000-0005-0000-0000-000050000000}"/>
    <cellStyle name="Normal_2003_Pensijos.II" xfId="3" xr:uid="{00000000-0005-0000-0000-000051000000}"/>
    <cellStyle name="Normal_2011-10-11    3 lenta baltas" xfId="4" xr:uid="{00000000-0005-0000-0000-000052000000}"/>
    <cellStyle name="Normal_3lentelė - 2,3,4 lapai" xfId="5" xr:uid="{00000000-0005-0000-0000-000053000000}"/>
    <cellStyle name="Normal_3lentele_1lapas" xfId="2" xr:uid="{00000000-0005-0000-0000-000054000000}"/>
    <cellStyle name="Normal_4 lentelė_2012_09siūloma" xfId="117" xr:uid="{00000000-0005-0000-0000-000055000000}"/>
    <cellStyle name="Normal_5 lentelė  _2010_2lapas_09.28._pataisos" xfId="115" xr:uid="{00000000-0005-0000-0000-000056000000}"/>
    <cellStyle name="Normal_6 lentelė_2012_09siūloma" xfId="116" xr:uid="{00000000-0005-0000-0000-000057000000}"/>
    <cellStyle name="Normal_Sheet1 (2)" xfId="1" xr:uid="{00000000-0005-0000-0000-000058000000}"/>
    <cellStyle name="Note" xfId="66" xr:uid="{00000000-0005-0000-0000-000059000000}"/>
    <cellStyle name="Output" xfId="67" xr:uid="{00000000-0005-0000-0000-00005A000000}"/>
    <cellStyle name="Paprastas_Apdraust27" xfId="114" xr:uid="{00000000-0005-0000-0000-00005B000000}"/>
    <cellStyle name="SAPBEXaggData" xfId="68" xr:uid="{00000000-0005-0000-0000-00005C000000}"/>
    <cellStyle name="SAPBEXaggDataEmph" xfId="69" xr:uid="{00000000-0005-0000-0000-00005D000000}"/>
    <cellStyle name="SAPBEXaggItem" xfId="70" xr:uid="{00000000-0005-0000-0000-00005E000000}"/>
    <cellStyle name="SAPBEXaggItemX" xfId="71" xr:uid="{00000000-0005-0000-0000-00005F000000}"/>
    <cellStyle name="SAPBEXchaText" xfId="72" xr:uid="{00000000-0005-0000-0000-000060000000}"/>
    <cellStyle name="SAPBEXexcBad7" xfId="73" xr:uid="{00000000-0005-0000-0000-000061000000}"/>
    <cellStyle name="SAPBEXexcBad8" xfId="74" xr:uid="{00000000-0005-0000-0000-000062000000}"/>
    <cellStyle name="SAPBEXexcBad9" xfId="75" xr:uid="{00000000-0005-0000-0000-000063000000}"/>
    <cellStyle name="SAPBEXexcCritical4" xfId="76" xr:uid="{00000000-0005-0000-0000-000064000000}"/>
    <cellStyle name="SAPBEXexcCritical5" xfId="77" xr:uid="{00000000-0005-0000-0000-000065000000}"/>
    <cellStyle name="SAPBEXexcCritical6" xfId="78" xr:uid="{00000000-0005-0000-0000-000066000000}"/>
    <cellStyle name="SAPBEXexcGood1" xfId="79" xr:uid="{00000000-0005-0000-0000-000067000000}"/>
    <cellStyle name="SAPBEXexcGood2" xfId="80" xr:uid="{00000000-0005-0000-0000-000068000000}"/>
    <cellStyle name="SAPBEXexcGood3" xfId="81" xr:uid="{00000000-0005-0000-0000-000069000000}"/>
    <cellStyle name="SAPBEXfilterDrill" xfId="82" xr:uid="{00000000-0005-0000-0000-00006A000000}"/>
    <cellStyle name="SAPBEXfilterItem" xfId="83" xr:uid="{00000000-0005-0000-0000-00006B000000}"/>
    <cellStyle name="SAPBEXfilterText" xfId="84" xr:uid="{00000000-0005-0000-0000-00006C000000}"/>
    <cellStyle name="SAPBEXformats" xfId="85" xr:uid="{00000000-0005-0000-0000-00006D000000}"/>
    <cellStyle name="SAPBEXheaderItem" xfId="86" xr:uid="{00000000-0005-0000-0000-00006E000000}"/>
    <cellStyle name="SAPBEXheaderText" xfId="87" xr:uid="{00000000-0005-0000-0000-00006F000000}"/>
    <cellStyle name="SAPBEXHLevel0" xfId="88" xr:uid="{00000000-0005-0000-0000-000070000000}"/>
    <cellStyle name="SAPBEXHLevel0X" xfId="89" xr:uid="{00000000-0005-0000-0000-000071000000}"/>
    <cellStyle name="SAPBEXHLevel1" xfId="90" xr:uid="{00000000-0005-0000-0000-000072000000}"/>
    <cellStyle name="SAPBEXHLevel1X" xfId="91" xr:uid="{00000000-0005-0000-0000-000073000000}"/>
    <cellStyle name="SAPBEXHLevel2" xfId="92" xr:uid="{00000000-0005-0000-0000-000074000000}"/>
    <cellStyle name="SAPBEXHLevel2X" xfId="93" xr:uid="{00000000-0005-0000-0000-000075000000}"/>
    <cellStyle name="SAPBEXHLevel3" xfId="94" xr:uid="{00000000-0005-0000-0000-000076000000}"/>
    <cellStyle name="SAPBEXHLevel3X" xfId="95" xr:uid="{00000000-0005-0000-0000-000077000000}"/>
    <cellStyle name="SAPBEXinputData" xfId="96" xr:uid="{00000000-0005-0000-0000-000078000000}"/>
    <cellStyle name="SAPBEXresData" xfId="97" xr:uid="{00000000-0005-0000-0000-000079000000}"/>
    <cellStyle name="SAPBEXresDataEmph" xfId="98" xr:uid="{00000000-0005-0000-0000-00007A000000}"/>
    <cellStyle name="SAPBEXresItem" xfId="99" xr:uid="{00000000-0005-0000-0000-00007B000000}"/>
    <cellStyle name="SAPBEXresItemX" xfId="100" xr:uid="{00000000-0005-0000-0000-00007C000000}"/>
    <cellStyle name="SAPBEXstdData" xfId="101" xr:uid="{00000000-0005-0000-0000-00007D000000}"/>
    <cellStyle name="SAPBEXstdDataEmph" xfId="102" xr:uid="{00000000-0005-0000-0000-00007E000000}"/>
    <cellStyle name="SAPBEXstdItem" xfId="103" xr:uid="{00000000-0005-0000-0000-00007F000000}"/>
    <cellStyle name="SAPBEXstdItemX" xfId="104" xr:uid="{00000000-0005-0000-0000-000080000000}"/>
    <cellStyle name="SAPBEXtitle" xfId="105" xr:uid="{00000000-0005-0000-0000-000081000000}"/>
    <cellStyle name="SAPBEXundefined" xfId="106" xr:uid="{00000000-0005-0000-0000-000082000000}"/>
    <cellStyle name="Sheet Title" xfId="107" xr:uid="{00000000-0005-0000-0000-000083000000}"/>
    <cellStyle name="Title" xfId="108" xr:uid="{00000000-0005-0000-0000-000084000000}"/>
    <cellStyle name="Total" xfId="109" xr:uid="{00000000-0005-0000-0000-000085000000}"/>
    <cellStyle name="Warning Text" xfId="110" xr:uid="{00000000-0005-0000-0000-000086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725614</xdr:colOff>
      <xdr:row>8</xdr:row>
      <xdr:rowOff>15091</xdr:rowOff>
    </xdr:from>
    <xdr:to>
      <xdr:col>1</xdr:col>
      <xdr:colOff>2068638</xdr:colOff>
      <xdr:row>8</xdr:row>
      <xdr:rowOff>344078</xdr:rowOff>
    </xdr:to>
    <xdr:pic>
      <xdr:nvPicPr>
        <xdr:cNvPr id="2" name="Paveikslėlis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59014" y="2710666"/>
          <a:ext cx="1343024" cy="328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725614</xdr:colOff>
      <xdr:row>8</xdr:row>
      <xdr:rowOff>15091</xdr:rowOff>
    </xdr:from>
    <xdr:to>
      <xdr:col>1</xdr:col>
      <xdr:colOff>2068638</xdr:colOff>
      <xdr:row>8</xdr:row>
      <xdr:rowOff>344078</xdr:rowOff>
    </xdr:to>
    <xdr:pic>
      <xdr:nvPicPr>
        <xdr:cNvPr id="3" name="Paveikslėlis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59014" y="2710666"/>
          <a:ext cx="1343024" cy="328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iud&#382;etas%202027%20m._rugs&#279;jis/Ilgalaikio%20darbo%20ismoku%20fondo%20priskaitymai%20ir%20srautai_2027-2029%20m._rugs&#279;j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skaitymai rugsėjis"/>
      <sheetName val="srautai rugsėjis"/>
      <sheetName val="veiklos sąnaudos rugsėjis"/>
      <sheetName val="papildomos lentelės"/>
      <sheetName val="Macro1"/>
    </sheetNames>
    <sheetDataSet>
      <sheetData sheetId="0">
        <row r="7">
          <cell r="F7">
            <v>53728</v>
          </cell>
          <cell r="H7">
            <v>58131</v>
          </cell>
          <cell r="I7">
            <v>61832</v>
          </cell>
          <cell r="J7">
            <v>65430</v>
          </cell>
          <cell r="K7">
            <v>68951</v>
          </cell>
        </row>
        <row r="8">
          <cell r="F8">
            <v>48399</v>
          </cell>
          <cell r="H8">
            <v>52619</v>
          </cell>
          <cell r="I8">
            <v>56318</v>
          </cell>
          <cell r="J8">
            <v>59914</v>
          </cell>
          <cell r="K8">
            <v>63433</v>
          </cell>
        </row>
        <row r="9">
          <cell r="E9">
            <v>0</v>
          </cell>
          <cell r="H9">
            <v>0</v>
          </cell>
          <cell r="I9">
            <v>0</v>
          </cell>
          <cell r="J9">
            <v>0</v>
          </cell>
          <cell r="K9">
            <v>0</v>
          </cell>
        </row>
        <row r="10">
          <cell r="E10">
            <v>0</v>
          </cell>
          <cell r="H10">
            <v>0</v>
          </cell>
          <cell r="I10">
            <v>0</v>
          </cell>
          <cell r="J10">
            <v>0</v>
          </cell>
          <cell r="K10">
            <v>0</v>
          </cell>
        </row>
        <row r="12">
          <cell r="F12">
            <v>0</v>
          </cell>
          <cell r="H12">
            <v>0</v>
          </cell>
          <cell r="I12">
            <v>0</v>
          </cell>
          <cell r="J12">
            <v>0</v>
          </cell>
          <cell r="K12">
            <v>0</v>
          </cell>
        </row>
        <row r="13">
          <cell r="F13">
            <v>10</v>
          </cell>
          <cell r="H13">
            <v>12</v>
          </cell>
          <cell r="I13">
            <v>14</v>
          </cell>
          <cell r="J13">
            <v>16</v>
          </cell>
          <cell r="K13">
            <v>18</v>
          </cell>
        </row>
        <row r="14">
          <cell r="F14">
            <v>5319</v>
          </cell>
          <cell r="H14">
            <v>5500</v>
          </cell>
          <cell r="I14">
            <v>5500</v>
          </cell>
          <cell r="J14">
            <v>5500</v>
          </cell>
          <cell r="K14">
            <v>5500</v>
          </cell>
        </row>
        <row r="15">
          <cell r="E15">
            <v>0</v>
          </cell>
          <cell r="H15">
            <v>0</v>
          </cell>
          <cell r="I15">
            <v>0</v>
          </cell>
          <cell r="J15">
            <v>0</v>
          </cell>
          <cell r="K15">
            <v>0</v>
          </cell>
        </row>
        <row r="16">
          <cell r="H16">
            <v>19372</v>
          </cell>
        </row>
        <row r="17">
          <cell r="F17">
            <v>12983</v>
          </cell>
          <cell r="H17">
            <v>17058</v>
          </cell>
          <cell r="I17">
            <v>18780</v>
          </cell>
          <cell r="J17">
            <v>21002</v>
          </cell>
          <cell r="K17">
            <v>23357</v>
          </cell>
        </row>
        <row r="19">
          <cell r="E19">
            <v>0</v>
          </cell>
          <cell r="H19">
            <v>0</v>
          </cell>
          <cell r="I19">
            <v>0</v>
          </cell>
          <cell r="J19">
            <v>0</v>
          </cell>
          <cell r="K19">
            <v>0</v>
          </cell>
        </row>
        <row r="21">
          <cell r="E21">
            <v>0</v>
          </cell>
          <cell r="H21">
            <v>1937</v>
          </cell>
          <cell r="J21">
            <v>0</v>
          </cell>
          <cell r="K21">
            <v>0</v>
          </cell>
        </row>
        <row r="22">
          <cell r="F22">
            <v>29</v>
          </cell>
          <cell r="H22">
            <v>53</v>
          </cell>
          <cell r="I22">
            <v>53</v>
          </cell>
          <cell r="J22">
            <v>53</v>
          </cell>
          <cell r="K22">
            <v>53</v>
          </cell>
        </row>
        <row r="25">
          <cell r="E25">
            <v>0</v>
          </cell>
          <cell r="H25">
            <v>0</v>
          </cell>
          <cell r="I25">
            <v>0</v>
          </cell>
          <cell r="J25">
            <v>0</v>
          </cell>
          <cell r="K25">
            <v>0</v>
          </cell>
        </row>
        <row r="33">
          <cell r="H33">
            <v>400</v>
          </cell>
          <cell r="I33">
            <v>429</v>
          </cell>
          <cell r="J33">
            <v>457</v>
          </cell>
          <cell r="K33">
            <v>484</v>
          </cell>
        </row>
        <row r="34">
          <cell r="H34">
            <v>400</v>
          </cell>
          <cell r="I34">
            <v>29</v>
          </cell>
          <cell r="J34">
            <v>28</v>
          </cell>
          <cell r="K34">
            <v>27</v>
          </cell>
        </row>
        <row r="42">
          <cell r="J42">
            <v>5876</v>
          </cell>
          <cell r="K42">
            <v>6170</v>
          </cell>
          <cell r="L42">
            <v>6480</v>
          </cell>
          <cell r="M42">
            <v>6800</v>
          </cell>
        </row>
        <row r="43">
          <cell r="J43">
            <v>2835</v>
          </cell>
          <cell r="K43">
            <v>3039.1200000000003</v>
          </cell>
          <cell r="L43">
            <v>3236.6628000000001</v>
          </cell>
          <cell r="M43">
            <v>3430.862568</v>
          </cell>
        </row>
        <row r="44">
          <cell r="J44">
            <v>16658460</v>
          </cell>
          <cell r="K44">
            <v>18751370.400000002</v>
          </cell>
          <cell r="L44">
            <v>20973574.944000002</v>
          </cell>
          <cell r="M44">
            <v>23329865.462400001</v>
          </cell>
        </row>
      </sheetData>
      <sheetData sheetId="1"/>
      <sheetData sheetId="2">
        <row r="8">
          <cell r="G8">
            <v>146</v>
          </cell>
          <cell r="H8">
            <v>160</v>
          </cell>
          <cell r="I8">
            <v>173</v>
          </cell>
          <cell r="J8">
            <v>186</v>
          </cell>
          <cell r="K8">
            <v>197</v>
          </cell>
        </row>
        <row r="9">
          <cell r="G9">
            <v>152</v>
          </cell>
          <cell r="H9">
            <v>164</v>
          </cell>
          <cell r="I9">
            <v>178</v>
          </cell>
          <cell r="J9">
            <v>190</v>
          </cell>
          <cell r="K9">
            <v>201</v>
          </cell>
        </row>
      </sheetData>
      <sheetData sheetId="3"/>
      <sheetData sheetId="4"/>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95255-FD59-4B85-B624-8FD19116C9F6}">
  <dimension ref="A1:H71"/>
  <sheetViews>
    <sheetView workbookViewId="0">
      <selection activeCell="C73" sqref="C73"/>
    </sheetView>
  </sheetViews>
  <sheetFormatPr defaultColWidth="8.85546875" defaultRowHeight="12.75"/>
  <cols>
    <col min="1" max="1" width="47" style="78" customWidth="1"/>
    <col min="2" max="2" width="7.85546875" style="560" customWidth="1"/>
    <col min="3" max="3" width="9.140625" style="78" customWidth="1"/>
    <col min="4" max="4" width="10.140625" style="78" customWidth="1"/>
    <col min="5" max="5" width="10.42578125" style="78" customWidth="1"/>
    <col min="6" max="6" width="10.7109375" style="78" customWidth="1"/>
    <col min="7" max="7" width="11.140625" style="78" customWidth="1"/>
    <col min="8" max="8" width="9.85546875" style="78" customWidth="1"/>
    <col min="9" max="16384" width="8.85546875" style="78"/>
  </cols>
  <sheetData>
    <row r="1" spans="1:8">
      <c r="A1" s="534"/>
      <c r="B1" s="549"/>
      <c r="C1" s="535"/>
      <c r="D1" s="534"/>
      <c r="E1" s="535"/>
      <c r="F1" s="535"/>
      <c r="G1" s="535"/>
      <c r="H1" s="535" t="s">
        <v>51</v>
      </c>
    </row>
    <row r="2" spans="1:8">
      <c r="A2" s="534"/>
      <c r="B2" s="549"/>
      <c r="C2" s="535"/>
      <c r="D2" s="534"/>
      <c r="E2" s="535"/>
      <c r="F2" s="535"/>
      <c r="G2" s="535"/>
      <c r="H2" s="535" t="s">
        <v>6</v>
      </c>
    </row>
    <row r="3" spans="1:8" ht="18">
      <c r="A3" s="561" t="s">
        <v>52</v>
      </c>
      <c r="B3" s="561"/>
      <c r="C3" s="561"/>
      <c r="D3" s="561"/>
      <c r="E3" s="561"/>
      <c r="F3" s="561"/>
      <c r="G3" s="561"/>
    </row>
    <row r="4" spans="1:8" ht="35.25" customHeight="1">
      <c r="A4" s="562" t="s">
        <v>547</v>
      </c>
      <c r="B4" s="562"/>
      <c r="C4" s="562"/>
      <c r="D4" s="562"/>
      <c r="E4" s="562"/>
      <c r="F4" s="562"/>
      <c r="G4" s="562"/>
      <c r="H4" s="562"/>
    </row>
    <row r="5" spans="1:8" ht="21" customHeight="1">
      <c r="A5" s="563" t="s">
        <v>635</v>
      </c>
      <c r="B5" s="563"/>
      <c r="C5" s="563"/>
      <c r="D5" s="563"/>
      <c r="E5" s="563"/>
      <c r="F5" s="563"/>
      <c r="G5" s="563"/>
    </row>
    <row r="6" spans="1:8" ht="15.75">
      <c r="A6" s="244"/>
      <c r="B6" s="550"/>
    </row>
    <row r="7" spans="1:8" ht="11.25" customHeight="1">
      <c r="A7" s="536"/>
      <c r="B7" s="551" t="s">
        <v>53</v>
      </c>
      <c r="C7" s="537" t="s">
        <v>202</v>
      </c>
      <c r="D7" s="537" t="s">
        <v>203</v>
      </c>
      <c r="E7" s="537" t="s">
        <v>209</v>
      </c>
      <c r="F7" s="538" t="s">
        <v>382</v>
      </c>
      <c r="G7" s="537" t="s">
        <v>413</v>
      </c>
      <c r="H7" s="537" t="s">
        <v>472</v>
      </c>
    </row>
    <row r="8" spans="1:8" ht="20.25" customHeight="1">
      <c r="A8" s="539"/>
      <c r="B8" s="552" t="s">
        <v>2</v>
      </c>
      <c r="C8" s="540" t="s">
        <v>54</v>
      </c>
      <c r="D8" s="540" t="s">
        <v>54</v>
      </c>
      <c r="E8" s="540" t="s">
        <v>3</v>
      </c>
      <c r="F8" s="541" t="s">
        <v>55</v>
      </c>
      <c r="G8" s="540" t="s">
        <v>56</v>
      </c>
      <c r="H8" s="540" t="s">
        <v>56</v>
      </c>
    </row>
    <row r="9" spans="1:8" ht="20.25" customHeight="1">
      <c r="A9" s="245" t="s">
        <v>57</v>
      </c>
      <c r="B9" s="553"/>
      <c r="C9" s="542"/>
      <c r="D9" s="543"/>
      <c r="E9" s="543"/>
    </row>
    <row r="10" spans="1:8" ht="15">
      <c r="A10" s="246" t="s">
        <v>109</v>
      </c>
      <c r="B10" s="554" t="s">
        <v>4</v>
      </c>
      <c r="C10" s="544">
        <v>2223</v>
      </c>
      <c r="D10" s="544">
        <v>2411.4</v>
      </c>
      <c r="E10" s="544">
        <v>2638.5</v>
      </c>
      <c r="F10" s="544">
        <v>2828.5</v>
      </c>
      <c r="G10" s="544">
        <v>3012.3</v>
      </c>
      <c r="H10" s="544">
        <v>3193</v>
      </c>
    </row>
    <row r="11" spans="1:8" ht="20.25" customHeight="1">
      <c r="A11" s="545" t="s">
        <v>181</v>
      </c>
      <c r="B11" s="554" t="s">
        <v>180</v>
      </c>
      <c r="C11" s="544">
        <v>31130.892</v>
      </c>
      <c r="D11" s="544">
        <v>34107.806160000007</v>
      </c>
      <c r="E11" s="544">
        <v>37319.999400000008</v>
      </c>
      <c r="F11" s="544">
        <v>39942.945599999992</v>
      </c>
      <c r="G11" s="544">
        <v>42495.118560000003</v>
      </c>
      <c r="H11" s="544">
        <v>44990.647199999999</v>
      </c>
    </row>
    <row r="12" spans="1:8" ht="4.5" customHeight="1">
      <c r="A12" s="247"/>
      <c r="B12" s="554"/>
      <c r="C12" s="544"/>
      <c r="D12" s="544"/>
      <c r="E12" s="544"/>
      <c r="F12" s="544"/>
      <c r="G12" s="544"/>
    </row>
    <row r="13" spans="1:8" ht="20.25" customHeight="1">
      <c r="A13" s="245" t="s">
        <v>58</v>
      </c>
      <c r="B13" s="554"/>
      <c r="C13" s="544"/>
      <c r="D13" s="544"/>
      <c r="E13" s="544"/>
      <c r="F13" s="544"/>
      <c r="G13" s="544"/>
    </row>
    <row r="14" spans="1:8" ht="31.5" customHeight="1">
      <c r="A14" s="248" t="s">
        <v>98</v>
      </c>
      <c r="B14" s="554" t="s">
        <v>119</v>
      </c>
      <c r="C14" s="544">
        <v>1437.4</v>
      </c>
      <c r="D14" s="544">
        <v>1437.2</v>
      </c>
      <c r="E14" s="544">
        <v>1442</v>
      </c>
      <c r="F14" s="544">
        <v>1439.7</v>
      </c>
      <c r="G14" s="544">
        <v>1438.2</v>
      </c>
      <c r="H14" s="544">
        <v>1436.5</v>
      </c>
    </row>
    <row r="15" spans="1:8" ht="20.25" customHeight="1">
      <c r="A15" s="246" t="s">
        <v>143</v>
      </c>
      <c r="B15" s="554" t="s">
        <v>179</v>
      </c>
      <c r="C15" s="544">
        <v>32888.589200000002</v>
      </c>
      <c r="D15" s="544">
        <v>36036.906080000001</v>
      </c>
      <c r="E15" s="544">
        <v>39432.76243207838</v>
      </c>
      <c r="F15" s="544">
        <v>42204.497319523289</v>
      </c>
      <c r="G15" s="544">
        <v>44899.864906804723</v>
      </c>
      <c r="H15" s="544">
        <v>47536.779481488025</v>
      </c>
    </row>
    <row r="16" spans="1:8" ht="27.75" customHeight="1">
      <c r="A16" s="248" t="s">
        <v>59</v>
      </c>
      <c r="B16" s="554" t="s">
        <v>119</v>
      </c>
      <c r="C16" s="544">
        <v>7.1</v>
      </c>
      <c r="D16" s="544">
        <v>7.3049999999999997</v>
      </c>
      <c r="E16" s="544">
        <v>10</v>
      </c>
      <c r="F16" s="544">
        <v>10</v>
      </c>
      <c r="G16" s="544">
        <v>10</v>
      </c>
      <c r="H16" s="544">
        <v>10</v>
      </c>
    </row>
    <row r="17" spans="1:8" ht="29.25" customHeight="1">
      <c r="A17" s="248" t="s">
        <v>60</v>
      </c>
      <c r="B17" s="554" t="s">
        <v>119</v>
      </c>
      <c r="C17" s="544">
        <v>5.4160000000000004</v>
      </c>
      <c r="D17" s="544">
        <v>4.4459999999999997</v>
      </c>
      <c r="E17" s="544">
        <v>4.4459999999999997</v>
      </c>
      <c r="F17" s="544">
        <v>4.4459999999999997</v>
      </c>
      <c r="G17" s="544">
        <v>4.4459999999999997</v>
      </c>
      <c r="H17" s="544">
        <v>4.4459999999999997</v>
      </c>
    </row>
    <row r="18" spans="1:8" ht="20.25" customHeight="1">
      <c r="A18" s="246" t="s">
        <v>61</v>
      </c>
      <c r="B18" s="554" t="s">
        <v>119</v>
      </c>
      <c r="C18" s="544">
        <v>31.780999999999999</v>
      </c>
      <c r="D18" s="544">
        <v>33.207999999999998</v>
      </c>
      <c r="E18" s="544">
        <v>33.21</v>
      </c>
      <c r="F18" s="544">
        <v>33.21</v>
      </c>
      <c r="G18" s="544">
        <v>33.21</v>
      </c>
      <c r="H18" s="544">
        <v>33.21</v>
      </c>
    </row>
    <row r="19" spans="1:8" ht="20.25" customHeight="1">
      <c r="A19" s="246" t="s">
        <v>62</v>
      </c>
      <c r="B19" s="554" t="s">
        <v>119</v>
      </c>
      <c r="C19" s="544">
        <v>2.8</v>
      </c>
      <c r="D19" s="544">
        <v>2.7679999999999998</v>
      </c>
      <c r="E19" s="544">
        <v>2.77</v>
      </c>
      <c r="F19" s="544">
        <v>2.77</v>
      </c>
      <c r="G19" s="544">
        <v>2.77</v>
      </c>
      <c r="H19" s="544">
        <v>2.77</v>
      </c>
    </row>
    <row r="20" spans="1:8" ht="28.5" customHeight="1">
      <c r="A20" s="249" t="s">
        <v>144</v>
      </c>
      <c r="B20" s="554" t="s">
        <v>119</v>
      </c>
      <c r="C20" s="544">
        <v>8.8849999999999998</v>
      </c>
      <c r="D20" s="544">
        <v>9.1359999999999992</v>
      </c>
      <c r="E20" s="544">
        <v>9.1</v>
      </c>
      <c r="F20" s="544">
        <v>8.8849999999999998</v>
      </c>
      <c r="G20" s="544">
        <v>9.1359999999999992</v>
      </c>
      <c r="H20" s="544">
        <v>9.1</v>
      </c>
    </row>
    <row r="21" spans="1:8" ht="20.25" customHeight="1">
      <c r="A21" s="250" t="s">
        <v>110</v>
      </c>
      <c r="B21" s="554" t="s">
        <v>119</v>
      </c>
      <c r="C21" s="544">
        <v>2</v>
      </c>
      <c r="D21" s="544">
        <v>1.7</v>
      </c>
      <c r="E21" s="544">
        <v>1.7</v>
      </c>
      <c r="F21" s="544">
        <v>1.7</v>
      </c>
      <c r="G21" s="544">
        <v>1.7</v>
      </c>
      <c r="H21" s="544">
        <v>1.7</v>
      </c>
    </row>
    <row r="22" spans="1:8" ht="20.25" customHeight="1">
      <c r="A22" s="251" t="s">
        <v>108</v>
      </c>
      <c r="B22" s="554" t="s">
        <v>119</v>
      </c>
      <c r="C22" s="544">
        <v>54.890999999999998</v>
      </c>
      <c r="D22" s="544">
        <v>48.689</v>
      </c>
      <c r="E22" s="544">
        <v>47</v>
      </c>
      <c r="F22" s="544">
        <v>47</v>
      </c>
      <c r="G22" s="544">
        <v>47</v>
      </c>
      <c r="H22" s="544">
        <v>47</v>
      </c>
    </row>
    <row r="23" spans="1:8" ht="20.25" customHeight="1">
      <c r="A23" s="249" t="s">
        <v>111</v>
      </c>
      <c r="B23" s="554" t="s">
        <v>119</v>
      </c>
      <c r="C23" s="544">
        <v>0.80900000000000005</v>
      </c>
      <c r="D23" s="544">
        <v>0.79900000000000004</v>
      </c>
      <c r="E23" s="544">
        <v>0.84</v>
      </c>
      <c r="F23" s="544">
        <v>0.84</v>
      </c>
      <c r="G23" s="544">
        <v>0.84</v>
      </c>
      <c r="H23" s="544">
        <v>0.84</v>
      </c>
    </row>
    <row r="24" spans="1:8" ht="20.25" customHeight="1">
      <c r="A24" s="249" t="s">
        <v>63</v>
      </c>
      <c r="B24" s="554" t="s">
        <v>119</v>
      </c>
      <c r="C24" s="544">
        <v>7.3129999999999997</v>
      </c>
      <c r="D24" s="544">
        <v>8.0470000000000006</v>
      </c>
      <c r="E24" s="544">
        <v>8.6999999999999993</v>
      </c>
      <c r="F24" s="544">
        <v>10</v>
      </c>
      <c r="G24" s="544">
        <v>10</v>
      </c>
      <c r="H24" s="544">
        <v>10</v>
      </c>
    </row>
    <row r="25" spans="1:8" ht="32.25" customHeight="1">
      <c r="A25" s="249" t="s">
        <v>112</v>
      </c>
      <c r="B25" s="554" t="s">
        <v>119</v>
      </c>
      <c r="C25" s="544">
        <v>3</v>
      </c>
      <c r="D25" s="544">
        <v>2.8</v>
      </c>
      <c r="E25" s="544">
        <v>3</v>
      </c>
      <c r="F25" s="544">
        <v>3</v>
      </c>
      <c r="G25" s="544">
        <v>3</v>
      </c>
      <c r="H25" s="544">
        <v>3</v>
      </c>
    </row>
    <row r="26" spans="1:8" ht="20.25" customHeight="1">
      <c r="A26" s="252" t="s">
        <v>88</v>
      </c>
      <c r="B26" s="554" t="s">
        <v>119</v>
      </c>
      <c r="C26" s="544">
        <v>0.33800000000000002</v>
      </c>
      <c r="D26" s="544">
        <v>0.39600000000000002</v>
      </c>
      <c r="E26" s="544">
        <v>0.4</v>
      </c>
      <c r="F26" s="544">
        <v>0.4</v>
      </c>
      <c r="G26" s="544">
        <v>0.4</v>
      </c>
      <c r="H26" s="544">
        <v>0.4</v>
      </c>
    </row>
    <row r="27" spans="1:8" ht="32.25" customHeight="1">
      <c r="A27" s="546" t="s">
        <v>210</v>
      </c>
      <c r="B27" s="554" t="s">
        <v>119</v>
      </c>
      <c r="C27" s="547">
        <v>0.754</v>
      </c>
      <c r="D27" s="547">
        <v>0.72699999999999998</v>
      </c>
      <c r="E27" s="547">
        <v>0.72699999999999998</v>
      </c>
      <c r="F27" s="547">
        <v>0.72699999999999998</v>
      </c>
      <c r="G27" s="547">
        <v>0.72699999999999998</v>
      </c>
      <c r="H27" s="547">
        <v>0.72699999999999998</v>
      </c>
    </row>
    <row r="28" spans="1:8" s="126" customFormat="1" ht="15.75">
      <c r="A28" s="253"/>
      <c r="B28" s="555"/>
      <c r="C28" s="548"/>
      <c r="D28" s="548"/>
      <c r="E28" s="548"/>
    </row>
    <row r="29" spans="1:8" s="127" customFormat="1">
      <c r="A29" s="254" t="s">
        <v>384</v>
      </c>
      <c r="B29" s="556" t="s">
        <v>121</v>
      </c>
      <c r="C29" s="255">
        <v>3025165.4000000004</v>
      </c>
      <c r="D29" s="255">
        <v>3317637.6999999997</v>
      </c>
      <c r="E29" s="255">
        <v>3642591</v>
      </c>
      <c r="F29" s="255">
        <v>3928521</v>
      </c>
      <c r="G29" s="255">
        <v>4196270</v>
      </c>
      <c r="H29" s="255">
        <v>4433239</v>
      </c>
    </row>
    <row r="30" spans="1:8" s="127" customFormat="1">
      <c r="A30" s="256" t="s">
        <v>636</v>
      </c>
      <c r="B30" s="557" t="s">
        <v>121</v>
      </c>
      <c r="C30" s="247">
        <v>39665.5</v>
      </c>
      <c r="D30" s="247">
        <v>42735.4</v>
      </c>
      <c r="E30" s="247">
        <v>48152</v>
      </c>
      <c r="F30" s="247">
        <v>79703</v>
      </c>
      <c r="G30" s="247">
        <v>104703</v>
      </c>
      <c r="H30" s="247">
        <v>104703</v>
      </c>
    </row>
    <row r="31" spans="1:8" s="127" customFormat="1">
      <c r="A31" s="256" t="s">
        <v>637</v>
      </c>
      <c r="B31" s="557" t="s">
        <v>121</v>
      </c>
      <c r="C31" s="247">
        <v>2880173.0000000005</v>
      </c>
      <c r="D31" s="247">
        <v>3156497.5999999996</v>
      </c>
      <c r="E31" s="247">
        <v>3460538</v>
      </c>
      <c r="F31" s="247">
        <v>3705417</v>
      </c>
      <c r="G31" s="247">
        <v>3940842</v>
      </c>
      <c r="H31" s="247">
        <v>4171162</v>
      </c>
    </row>
    <row r="32" spans="1:8" s="127" customFormat="1">
      <c r="A32" s="256" t="s">
        <v>211</v>
      </c>
      <c r="B32" s="557" t="s">
        <v>121</v>
      </c>
      <c r="C32" s="247">
        <v>105326.90000000001</v>
      </c>
      <c r="D32" s="247">
        <v>118404.69999999998</v>
      </c>
      <c r="E32" s="247">
        <v>133901</v>
      </c>
      <c r="F32" s="247">
        <v>143401</v>
      </c>
      <c r="G32" s="247">
        <v>150725</v>
      </c>
      <c r="H32" s="247">
        <v>157374</v>
      </c>
    </row>
    <row r="33" spans="1:8" s="127" customFormat="1" ht="15.75" customHeight="1">
      <c r="A33" s="258" t="s">
        <v>638</v>
      </c>
      <c r="B33" s="556" t="s">
        <v>121</v>
      </c>
      <c r="C33" s="255">
        <v>676912.2</v>
      </c>
      <c r="D33" s="255">
        <v>743330.6</v>
      </c>
      <c r="E33" s="255">
        <v>817894</v>
      </c>
      <c r="F33" s="255">
        <v>875839</v>
      </c>
      <c r="G33" s="255">
        <v>931226</v>
      </c>
      <c r="H33" s="255">
        <v>985421</v>
      </c>
    </row>
    <row r="34" spans="1:8" s="127" customFormat="1" ht="15.75" customHeight="1">
      <c r="A34" s="256" t="s">
        <v>639</v>
      </c>
      <c r="B34" s="557" t="s">
        <v>121</v>
      </c>
      <c r="C34" s="247">
        <v>401.1</v>
      </c>
      <c r="D34" s="247">
        <v>469.3</v>
      </c>
      <c r="E34" s="247">
        <v>468</v>
      </c>
      <c r="F34" s="247">
        <v>505</v>
      </c>
      <c r="G34" s="247">
        <v>505</v>
      </c>
      <c r="H34" s="247">
        <v>505</v>
      </c>
    </row>
    <row r="35" spans="1:8" s="127" customFormat="1" ht="15.75" customHeight="1">
      <c r="A35" s="256" t="s">
        <v>640</v>
      </c>
      <c r="B35" s="557" t="s">
        <v>121</v>
      </c>
      <c r="C35" s="247">
        <v>655367.6</v>
      </c>
      <c r="D35" s="247">
        <v>719094.1</v>
      </c>
      <c r="E35" s="247">
        <v>787634</v>
      </c>
      <c r="F35" s="247">
        <v>843360</v>
      </c>
      <c r="G35" s="247">
        <v>896998</v>
      </c>
      <c r="H35" s="247">
        <v>949473</v>
      </c>
    </row>
    <row r="36" spans="1:8" s="127" customFormat="1" ht="14.25" customHeight="1">
      <c r="A36" s="256" t="s">
        <v>641</v>
      </c>
      <c r="B36" s="557" t="s">
        <v>121</v>
      </c>
      <c r="C36" s="247">
        <v>21143.499999999996</v>
      </c>
      <c r="D36" s="247">
        <v>23767.199999999997</v>
      </c>
      <c r="E36" s="247">
        <v>29792</v>
      </c>
      <c r="F36" s="247">
        <v>31974</v>
      </c>
      <c r="G36" s="247">
        <v>33723</v>
      </c>
      <c r="H36" s="247">
        <v>35443</v>
      </c>
    </row>
    <row r="37" spans="1:8" s="127" customFormat="1" ht="15.75" customHeight="1">
      <c r="A37" s="258" t="s">
        <v>385</v>
      </c>
      <c r="B37" s="556" t="s">
        <v>121</v>
      </c>
      <c r="C37" s="255">
        <v>615335.30000000005</v>
      </c>
      <c r="D37" s="255">
        <v>675761.69999999984</v>
      </c>
      <c r="E37" s="255">
        <v>740396</v>
      </c>
      <c r="F37" s="255">
        <v>792849</v>
      </c>
      <c r="G37" s="255">
        <v>842961</v>
      </c>
      <c r="H37" s="255">
        <v>891993</v>
      </c>
    </row>
    <row r="38" spans="1:8" s="127" customFormat="1" ht="15.75" customHeight="1">
      <c r="A38" s="256" t="s">
        <v>642</v>
      </c>
      <c r="B38" s="557" t="s">
        <v>121</v>
      </c>
      <c r="C38" s="247">
        <v>345.40000000000003</v>
      </c>
      <c r="D38" s="247">
        <v>405.6</v>
      </c>
      <c r="E38" s="247">
        <v>426</v>
      </c>
      <c r="F38" s="247">
        <v>460</v>
      </c>
      <c r="G38" s="247">
        <v>460</v>
      </c>
      <c r="H38" s="247">
        <v>460</v>
      </c>
    </row>
    <row r="39" spans="1:8" s="127" customFormat="1" ht="15.75" customHeight="1">
      <c r="A39" s="256" t="s">
        <v>643</v>
      </c>
      <c r="B39" s="557" t="s">
        <v>121</v>
      </c>
      <c r="C39" s="247">
        <v>595822.1</v>
      </c>
      <c r="D39" s="247">
        <v>653794.49999999988</v>
      </c>
      <c r="E39" s="247">
        <v>717142</v>
      </c>
      <c r="F39" s="247">
        <v>767887</v>
      </c>
      <c r="G39" s="247">
        <v>816674</v>
      </c>
      <c r="H39" s="247">
        <v>864402</v>
      </c>
    </row>
    <row r="40" spans="1:8" s="127" customFormat="1" ht="15.75" customHeight="1">
      <c r="A40" s="256" t="s">
        <v>644</v>
      </c>
      <c r="B40" s="557" t="s">
        <v>121</v>
      </c>
      <c r="C40" s="247">
        <v>19167.8</v>
      </c>
      <c r="D40" s="247">
        <v>21561.600000000002</v>
      </c>
      <c r="E40" s="247">
        <v>22828</v>
      </c>
      <c r="F40" s="247">
        <v>24502</v>
      </c>
      <c r="G40" s="247">
        <v>25827</v>
      </c>
      <c r="H40" s="247">
        <v>27131</v>
      </c>
    </row>
    <row r="41" spans="1:8" s="127" customFormat="1" ht="15.75" customHeight="1">
      <c r="A41" s="258" t="s">
        <v>645</v>
      </c>
      <c r="B41" s="556" t="s">
        <v>121</v>
      </c>
      <c r="C41" s="255">
        <v>451251.20000000001</v>
      </c>
      <c r="D41" s="255">
        <v>494841.99999999994</v>
      </c>
      <c r="E41" s="255">
        <v>531903</v>
      </c>
      <c r="F41" s="255">
        <v>565479</v>
      </c>
      <c r="G41" s="255">
        <v>600788</v>
      </c>
      <c r="H41" s="255">
        <v>635332</v>
      </c>
    </row>
    <row r="42" spans="1:8" s="127" customFormat="1" ht="15.75" customHeight="1">
      <c r="A42" s="256" t="s">
        <v>646</v>
      </c>
      <c r="B42" s="557" t="s">
        <v>121</v>
      </c>
      <c r="C42" s="247">
        <v>450721.7</v>
      </c>
      <c r="D42" s="247">
        <v>494501.39999999997</v>
      </c>
      <c r="E42" s="247">
        <v>529888</v>
      </c>
      <c r="F42" s="247">
        <v>563304</v>
      </c>
      <c r="G42" s="247">
        <v>598613</v>
      </c>
      <c r="H42" s="247">
        <v>633157</v>
      </c>
    </row>
    <row r="43" spans="1:8" s="127" customFormat="1" ht="15.75" customHeight="1">
      <c r="A43" s="256" t="s">
        <v>647</v>
      </c>
      <c r="B43" s="557" t="s">
        <v>121</v>
      </c>
      <c r="C43" s="247">
        <v>529.5</v>
      </c>
      <c r="D43" s="247">
        <v>340.6</v>
      </c>
      <c r="E43" s="247">
        <v>2015</v>
      </c>
      <c r="F43" s="247">
        <v>2175</v>
      </c>
      <c r="G43" s="247">
        <v>2175</v>
      </c>
      <c r="H43" s="247">
        <v>2175</v>
      </c>
    </row>
    <row r="44" spans="1:8" s="127" customFormat="1" ht="25.5">
      <c r="A44" s="258" t="s">
        <v>386</v>
      </c>
      <c r="B44" s="556" t="s">
        <v>121</v>
      </c>
      <c r="C44" s="255">
        <v>51197</v>
      </c>
      <c r="D44" s="255">
        <v>55500.80000000001</v>
      </c>
      <c r="E44" s="255">
        <v>64850</v>
      </c>
      <c r="F44" s="255">
        <v>69344</v>
      </c>
      <c r="G44" s="255">
        <v>73657</v>
      </c>
      <c r="H44" s="255">
        <v>77876</v>
      </c>
    </row>
    <row r="45" spans="1:8" s="127" customFormat="1" ht="15.75" customHeight="1">
      <c r="A45" s="256" t="s">
        <v>212</v>
      </c>
      <c r="B45" s="557" t="s">
        <v>121</v>
      </c>
      <c r="C45" s="247">
        <v>51197</v>
      </c>
      <c r="D45" s="247">
        <v>55500.80000000001</v>
      </c>
      <c r="E45" s="247">
        <v>64850</v>
      </c>
      <c r="F45" s="247">
        <v>69344</v>
      </c>
      <c r="G45" s="247">
        <v>73657</v>
      </c>
      <c r="H45" s="247">
        <v>77876</v>
      </c>
    </row>
    <row r="46" spans="1:8" s="127" customFormat="1" ht="19.5" customHeight="1">
      <c r="A46" s="259" t="s">
        <v>348</v>
      </c>
      <c r="B46" s="556" t="s">
        <v>121</v>
      </c>
      <c r="C46" s="255">
        <v>3.2</v>
      </c>
      <c r="D46" s="255">
        <v>4.0999999999999996</v>
      </c>
      <c r="E46" s="255">
        <v>6</v>
      </c>
      <c r="F46" s="255">
        <v>7</v>
      </c>
      <c r="G46" s="255">
        <v>7</v>
      </c>
      <c r="H46" s="255">
        <v>7</v>
      </c>
    </row>
    <row r="47" spans="1:8" s="127" customFormat="1" ht="15.75" customHeight="1">
      <c r="A47" s="254" t="s">
        <v>213</v>
      </c>
      <c r="B47" s="556" t="s">
        <v>121</v>
      </c>
      <c r="C47" s="255">
        <v>1166.4000000000001</v>
      </c>
      <c r="D47" s="255">
        <v>1049.2</v>
      </c>
      <c r="E47" s="255">
        <v>1049</v>
      </c>
      <c r="F47" s="255">
        <v>1050</v>
      </c>
      <c r="G47" s="255">
        <v>1050</v>
      </c>
      <c r="H47" s="255">
        <v>1050</v>
      </c>
    </row>
    <row r="48" spans="1:8" s="127" customFormat="1" ht="18.75" customHeight="1">
      <c r="A48" s="257" t="s">
        <v>214</v>
      </c>
      <c r="B48" s="557" t="s">
        <v>121</v>
      </c>
      <c r="C48" s="247">
        <v>1048</v>
      </c>
      <c r="D48" s="247">
        <v>970.3</v>
      </c>
      <c r="E48" s="247">
        <v>970</v>
      </c>
      <c r="F48" s="247">
        <v>971</v>
      </c>
      <c r="G48" s="247">
        <v>971</v>
      </c>
      <c r="H48" s="247">
        <v>971</v>
      </c>
    </row>
    <row r="49" spans="1:8" s="127" customFormat="1" ht="15.75" customHeight="1">
      <c r="A49" s="257" t="s">
        <v>215</v>
      </c>
      <c r="B49" s="557" t="s">
        <v>121</v>
      </c>
      <c r="C49" s="247">
        <v>118.4</v>
      </c>
      <c r="D49" s="247">
        <v>78.900000000000006</v>
      </c>
      <c r="E49" s="247">
        <v>79</v>
      </c>
      <c r="F49" s="247">
        <v>79</v>
      </c>
      <c r="G49" s="247">
        <v>79</v>
      </c>
      <c r="H49" s="247">
        <v>79</v>
      </c>
    </row>
    <row r="50" spans="1:8" s="127" customFormat="1">
      <c r="A50" s="257"/>
      <c r="B50" s="557"/>
      <c r="C50" s="247"/>
      <c r="D50" s="247"/>
      <c r="E50" s="247"/>
    </row>
    <row r="51" spans="1:8" s="127" customFormat="1">
      <c r="A51" s="257"/>
      <c r="B51" s="557"/>
      <c r="C51" s="247"/>
      <c r="D51" s="247"/>
      <c r="E51" s="247"/>
    </row>
    <row r="52" spans="1:8" s="127" customFormat="1" ht="19.5" customHeight="1">
      <c r="A52" s="257"/>
      <c r="B52" s="557"/>
      <c r="C52" s="247"/>
      <c r="D52" s="247"/>
      <c r="E52" s="247"/>
    </row>
    <row r="53" spans="1:8" s="127" customFormat="1" ht="15.75" customHeight="1">
      <c r="A53" s="257"/>
      <c r="B53" s="557"/>
      <c r="C53" s="247"/>
      <c r="D53" s="534"/>
      <c r="E53" s="535"/>
      <c r="F53" s="535"/>
      <c r="G53" s="535"/>
      <c r="H53" s="535" t="s">
        <v>51</v>
      </c>
    </row>
    <row r="54" spans="1:8" s="127" customFormat="1">
      <c r="A54" s="257"/>
      <c r="B54" s="557"/>
      <c r="C54" s="247"/>
      <c r="D54" s="534"/>
      <c r="E54" s="535"/>
      <c r="F54" s="535"/>
      <c r="G54" s="535"/>
      <c r="H54" s="535" t="s">
        <v>27</v>
      </c>
    </row>
    <row r="55" spans="1:8" s="79" customFormat="1" ht="15">
      <c r="A55" s="536"/>
      <c r="B55" s="551" t="s">
        <v>53</v>
      </c>
      <c r="C55" s="537" t="s">
        <v>202</v>
      </c>
      <c r="D55" s="537" t="s">
        <v>203</v>
      </c>
      <c r="E55" s="537" t="s">
        <v>209</v>
      </c>
      <c r="F55" s="538" t="s">
        <v>382</v>
      </c>
      <c r="G55" s="537" t="s">
        <v>413</v>
      </c>
      <c r="H55" s="537" t="s">
        <v>472</v>
      </c>
    </row>
    <row r="56" spans="1:8" s="79" customFormat="1" ht="15">
      <c r="A56" s="539"/>
      <c r="B56" s="552" t="s">
        <v>2</v>
      </c>
      <c r="C56" s="540" t="s">
        <v>54</v>
      </c>
      <c r="D56" s="540" t="s">
        <v>54</v>
      </c>
      <c r="E56" s="540" t="s">
        <v>54</v>
      </c>
      <c r="F56" s="541" t="s">
        <v>55</v>
      </c>
      <c r="G56" s="540" t="s">
        <v>56</v>
      </c>
      <c r="H56" s="540" t="s">
        <v>56</v>
      </c>
    </row>
    <row r="57" spans="1:8" s="79" customFormat="1" ht="27" customHeight="1">
      <c r="A57" s="259" t="s">
        <v>216</v>
      </c>
      <c r="B57" s="556" t="s">
        <v>121</v>
      </c>
      <c r="C57" s="255">
        <v>3045567.4</v>
      </c>
      <c r="D57" s="255">
        <v>3435537.8</v>
      </c>
      <c r="E57" s="255">
        <v>3843403</v>
      </c>
      <c r="F57" s="255">
        <v>4293817</v>
      </c>
      <c r="G57" s="255">
        <v>4719746</v>
      </c>
      <c r="H57" s="255">
        <v>5132228</v>
      </c>
    </row>
    <row r="58" spans="1:8" s="79" customFormat="1" ht="30.75" customHeight="1">
      <c r="A58" s="260" t="s">
        <v>217</v>
      </c>
      <c r="B58" s="557" t="s">
        <v>121</v>
      </c>
      <c r="C58" s="247">
        <v>3043001.1</v>
      </c>
      <c r="D58" s="247">
        <v>3432954.5</v>
      </c>
      <c r="E58" s="247">
        <v>3840785</v>
      </c>
      <c r="F58" s="247">
        <v>4290822</v>
      </c>
      <c r="G58" s="247">
        <v>4716560</v>
      </c>
      <c r="H58" s="247">
        <v>5128854</v>
      </c>
    </row>
    <row r="59" spans="1:8" s="79" customFormat="1" ht="15">
      <c r="A59" s="260" t="s">
        <v>349</v>
      </c>
      <c r="B59" s="557" t="s">
        <v>121</v>
      </c>
      <c r="C59" s="247">
        <v>2566.3000000000002</v>
      </c>
      <c r="D59" s="247">
        <v>2583.3000000000002</v>
      </c>
      <c r="E59" s="247">
        <v>2618</v>
      </c>
      <c r="F59" s="247">
        <v>2995</v>
      </c>
      <c r="G59" s="247">
        <v>3186</v>
      </c>
      <c r="H59" s="247">
        <v>3374</v>
      </c>
    </row>
    <row r="60" spans="1:8" s="79" customFormat="1" ht="15">
      <c r="A60" s="259" t="s">
        <v>350</v>
      </c>
      <c r="B60" s="556" t="s">
        <v>121</v>
      </c>
      <c r="C60" s="255">
        <v>115437.29999999999</v>
      </c>
      <c r="D60" s="255">
        <v>113541.91</v>
      </c>
      <c r="E60" s="255">
        <v>129954</v>
      </c>
      <c r="F60" s="255">
        <v>199175</v>
      </c>
      <c r="G60" s="255">
        <v>261402</v>
      </c>
      <c r="H60" s="255">
        <v>315742</v>
      </c>
    </row>
    <row r="61" spans="1:8" s="79" customFormat="1" ht="25.5">
      <c r="A61" s="201" t="s">
        <v>218</v>
      </c>
      <c r="B61" s="557" t="s">
        <v>121</v>
      </c>
      <c r="C61" s="247">
        <v>13805.5</v>
      </c>
      <c r="D61" s="247">
        <v>15986.400000000001</v>
      </c>
      <c r="E61" s="247">
        <v>16943</v>
      </c>
      <c r="F61" s="247">
        <v>17075</v>
      </c>
      <c r="G61" s="247">
        <v>17902</v>
      </c>
      <c r="H61" s="247">
        <v>18842</v>
      </c>
    </row>
    <row r="62" spans="1:8" s="79" customFormat="1" ht="15">
      <c r="A62" s="260" t="s">
        <v>219</v>
      </c>
      <c r="B62" s="557" t="s">
        <v>121</v>
      </c>
      <c r="C62" s="255">
        <v>101631.79999999999</v>
      </c>
      <c r="D62" s="255">
        <v>97555.510000000009</v>
      </c>
      <c r="E62" s="255">
        <v>113011</v>
      </c>
      <c r="F62" s="255">
        <v>182100</v>
      </c>
      <c r="G62" s="255">
        <v>243500</v>
      </c>
      <c r="H62" s="255">
        <v>296900</v>
      </c>
    </row>
    <row r="63" spans="1:8" ht="30">
      <c r="A63" s="202" t="s">
        <v>351</v>
      </c>
      <c r="B63" s="557" t="s">
        <v>121</v>
      </c>
      <c r="C63" s="247">
        <v>34904.1</v>
      </c>
      <c r="D63" s="247">
        <v>21026.5</v>
      </c>
      <c r="E63" s="247">
        <v>94300</v>
      </c>
      <c r="F63" s="247">
        <v>165900</v>
      </c>
      <c r="G63" s="247">
        <v>227300</v>
      </c>
      <c r="H63" s="247">
        <v>280700</v>
      </c>
    </row>
    <row r="64" spans="1:8" ht="30">
      <c r="A64" s="202" t="s">
        <v>352</v>
      </c>
      <c r="B64" s="557"/>
      <c r="C64" s="247">
        <v>41578.400000000001</v>
      </c>
      <c r="D64" s="247">
        <v>58018.21</v>
      </c>
      <c r="E64" s="247">
        <v>0</v>
      </c>
      <c r="F64" s="247">
        <v>0</v>
      </c>
      <c r="G64" s="247">
        <v>0</v>
      </c>
      <c r="H64" s="247">
        <v>0</v>
      </c>
    </row>
    <row r="65" spans="1:8" ht="15.75" customHeight="1">
      <c r="A65" s="202" t="s">
        <v>548</v>
      </c>
      <c r="B65" s="557" t="s">
        <v>121</v>
      </c>
      <c r="C65" s="247">
        <v>25149.3</v>
      </c>
      <c r="D65" s="247">
        <v>18510.8</v>
      </c>
      <c r="E65" s="247">
        <v>18511</v>
      </c>
      <c r="F65" s="247">
        <v>16000</v>
      </c>
      <c r="G65" s="247">
        <v>16000</v>
      </c>
      <c r="H65" s="247">
        <v>16000</v>
      </c>
    </row>
    <row r="66" spans="1:8" ht="15.75" customHeight="1">
      <c r="A66" s="202" t="s">
        <v>549</v>
      </c>
      <c r="B66" s="557" t="s">
        <v>121</v>
      </c>
      <c r="C66" s="247"/>
      <c r="D66" s="247">
        <v>0</v>
      </c>
      <c r="E66" s="247">
        <v>200</v>
      </c>
      <c r="F66" s="247">
        <v>200</v>
      </c>
      <c r="G66" s="247">
        <v>200</v>
      </c>
      <c r="H66" s="247">
        <v>200</v>
      </c>
    </row>
    <row r="67" spans="1:8" ht="20.25" customHeight="1">
      <c r="A67" s="203" t="s">
        <v>353</v>
      </c>
      <c r="B67" s="556" t="s">
        <v>121</v>
      </c>
      <c r="C67" s="247">
        <v>0</v>
      </c>
      <c r="D67" s="247">
        <v>0</v>
      </c>
      <c r="E67" s="247">
        <v>2041000</v>
      </c>
      <c r="F67" s="247">
        <v>560000</v>
      </c>
      <c r="G67" s="247">
        <v>0</v>
      </c>
      <c r="H67" s="247">
        <v>0</v>
      </c>
    </row>
    <row r="68" spans="1:8" s="128" customFormat="1" ht="23.25" customHeight="1">
      <c r="A68" s="204" t="s">
        <v>220</v>
      </c>
      <c r="B68" s="558" t="s">
        <v>121</v>
      </c>
      <c r="C68" s="261">
        <v>7982035.4000000013</v>
      </c>
      <c r="D68" s="261">
        <v>8837205.8099999987</v>
      </c>
      <c r="E68" s="261">
        <v>11813046</v>
      </c>
      <c r="F68" s="261">
        <v>11286081</v>
      </c>
      <c r="G68" s="261">
        <v>11627107</v>
      </c>
      <c r="H68" s="261">
        <v>12472888</v>
      </c>
    </row>
    <row r="69" spans="1:8" ht="15">
      <c r="A69" s="129"/>
      <c r="B69" s="559"/>
      <c r="C69" s="79"/>
      <c r="D69" s="79"/>
      <c r="E69" s="79"/>
    </row>
    <row r="70" spans="1:8" ht="15">
      <c r="A70" s="129"/>
      <c r="B70" s="559"/>
      <c r="C70" s="79"/>
      <c r="D70" s="79"/>
      <c r="E70" s="79"/>
    </row>
    <row r="71" spans="1:8" ht="15">
      <c r="A71" s="129"/>
      <c r="B71" s="559"/>
      <c r="C71" s="79"/>
      <c r="D71" s="79"/>
      <c r="E71" s="79"/>
    </row>
  </sheetData>
  <mergeCells count="3">
    <mergeCell ref="A3:G3"/>
    <mergeCell ref="A4:H4"/>
    <mergeCell ref="A5:G5"/>
  </mergeCells>
  <pageMargins left="0.19" right="0.25" top="0.24" bottom="0.21" header="0.25" footer="0.19685039370078741"/>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99"/>
  <sheetViews>
    <sheetView zoomScaleNormal="100" workbookViewId="0">
      <pane xSplit="1" ySplit="6" topLeftCell="B240" activePane="bottomRight" state="frozen"/>
      <selection activeCell="D70" sqref="D70"/>
      <selection pane="topRight" activeCell="D70" sqref="D70"/>
      <selection pane="bottomLeft" activeCell="D70" sqref="D70"/>
      <selection pane="bottomRight" activeCell="F275" sqref="F275"/>
    </sheetView>
  </sheetViews>
  <sheetFormatPr defaultColWidth="9.140625" defaultRowHeight="12.75"/>
  <cols>
    <col min="1" max="1" width="46.140625" style="3" customWidth="1"/>
    <col min="2" max="2" width="10.28515625" style="3" customWidth="1"/>
    <col min="3" max="3" width="11.5703125" style="2" customWidth="1"/>
    <col min="4" max="4" width="10.5703125" style="2" customWidth="1"/>
    <col min="5" max="5" width="10.85546875" style="2" customWidth="1"/>
    <col min="6" max="6" width="11.85546875" style="2" customWidth="1"/>
    <col min="7" max="7" width="11.28515625" style="3" customWidth="1"/>
    <col min="8" max="8" width="10.7109375" style="3" customWidth="1"/>
    <col min="9" max="9" width="4.85546875" style="3" customWidth="1"/>
    <col min="10" max="10" width="13" style="3" hidden="1" customWidth="1"/>
    <col min="11" max="11" width="12.5703125" style="3" hidden="1" customWidth="1"/>
    <col min="12" max="12" width="10.28515625" style="3" hidden="1" customWidth="1"/>
    <col min="13" max="13" width="11.7109375" style="3" hidden="1" customWidth="1"/>
    <col min="14" max="15" width="9.140625" style="3" hidden="1" customWidth="1"/>
    <col min="16" max="16" width="11.140625" style="3" customWidth="1"/>
    <col min="17" max="17" width="10.28515625" style="3" customWidth="1"/>
    <col min="18" max="18" width="11.42578125" style="3" customWidth="1"/>
    <col min="19" max="16384" width="9.140625" style="3"/>
  </cols>
  <sheetData>
    <row r="1" spans="1:18" ht="13.5" customHeight="1">
      <c r="C1" s="80"/>
      <c r="D1" s="80"/>
      <c r="E1" s="80"/>
      <c r="G1" s="60"/>
      <c r="H1" s="60" t="s">
        <v>5</v>
      </c>
    </row>
    <row r="2" spans="1:18" ht="16.5" customHeight="1">
      <c r="A2" s="571" t="s">
        <v>547</v>
      </c>
      <c r="B2" s="571"/>
      <c r="C2" s="571"/>
      <c r="D2" s="571"/>
      <c r="E2" s="571"/>
      <c r="F2" s="571"/>
      <c r="G2" s="571"/>
      <c r="H2" s="60" t="s">
        <v>6</v>
      </c>
    </row>
    <row r="3" spans="1:18" ht="15.75" customHeight="1">
      <c r="A3" s="571" t="s">
        <v>206</v>
      </c>
      <c r="B3" s="571"/>
      <c r="C3" s="571"/>
      <c r="D3" s="571"/>
      <c r="E3" s="571"/>
      <c r="F3" s="571"/>
      <c r="G3" s="571"/>
      <c r="H3" s="264"/>
    </row>
    <row r="4" spans="1:18" ht="15.75" customHeight="1">
      <c r="C4" s="29"/>
      <c r="D4" s="29"/>
      <c r="E4" s="29"/>
      <c r="F4" s="29"/>
      <c r="G4" s="30"/>
      <c r="H4" s="30"/>
    </row>
    <row r="5" spans="1:18" ht="12" customHeight="1">
      <c r="A5" s="44"/>
      <c r="B5" s="568" t="s">
        <v>1</v>
      </c>
      <c r="C5" s="566" t="s">
        <v>412</v>
      </c>
      <c r="D5" s="566" t="s">
        <v>500</v>
      </c>
      <c r="E5" s="566" t="s">
        <v>501</v>
      </c>
      <c r="F5" s="564" t="s">
        <v>502</v>
      </c>
      <c r="G5" s="566" t="s">
        <v>418</v>
      </c>
      <c r="H5" s="566" t="s">
        <v>503</v>
      </c>
    </row>
    <row r="6" spans="1:18" ht="17.25" customHeight="1">
      <c r="A6" s="45"/>
      <c r="B6" s="569" t="s">
        <v>2</v>
      </c>
      <c r="C6" s="570"/>
      <c r="D6" s="570"/>
      <c r="E6" s="570"/>
      <c r="F6" s="565"/>
      <c r="G6" s="567"/>
      <c r="H6" s="567"/>
    </row>
    <row r="7" spans="1:18" ht="14.25" customHeight="1">
      <c r="A7" s="197" t="s">
        <v>168</v>
      </c>
      <c r="B7" s="198"/>
      <c r="C7" s="53"/>
      <c r="D7" s="53"/>
      <c r="E7" s="53"/>
      <c r="F7" s="53"/>
      <c r="G7" s="53"/>
      <c r="H7" s="53"/>
    </row>
    <row r="8" spans="1:18" ht="9" customHeight="1">
      <c r="A8" s="197"/>
      <c r="B8" s="198"/>
      <c r="C8" s="53"/>
      <c r="D8" s="53"/>
      <c r="E8" s="53"/>
      <c r="F8" s="53"/>
      <c r="G8" s="53"/>
      <c r="H8" s="53"/>
    </row>
    <row r="9" spans="1:18">
      <c r="A9" s="199" t="s">
        <v>197</v>
      </c>
      <c r="B9" s="10" t="s">
        <v>4</v>
      </c>
      <c r="C9" s="3">
        <v>269.77</v>
      </c>
      <c r="D9" s="190">
        <v>298.45</v>
      </c>
      <c r="E9" s="3">
        <v>327.91</v>
      </c>
      <c r="F9" s="191">
        <v>357.68</v>
      </c>
      <c r="G9" s="190">
        <v>386.29</v>
      </c>
      <c r="H9" s="3">
        <v>413.91</v>
      </c>
    </row>
    <row r="10" spans="1:18" ht="12.75" customHeight="1">
      <c r="A10" s="199" t="s">
        <v>198</v>
      </c>
      <c r="B10" s="10"/>
      <c r="C10" s="12">
        <v>1004186</v>
      </c>
      <c r="D10" s="265">
        <v>1006529</v>
      </c>
      <c r="E10" s="12">
        <v>1011510</v>
      </c>
      <c r="F10" s="266">
        <v>1026700</v>
      </c>
      <c r="G10" s="265">
        <v>1038045</v>
      </c>
      <c r="H10" s="265">
        <v>1047775</v>
      </c>
      <c r="J10" s="12"/>
      <c r="K10" s="12"/>
      <c r="L10" s="12"/>
      <c r="M10" s="12"/>
    </row>
    <row r="11" spans="1:18" ht="13.5" customHeight="1">
      <c r="A11" s="199" t="s">
        <v>424</v>
      </c>
      <c r="B11" s="31" t="s">
        <v>7</v>
      </c>
      <c r="C11" s="11">
        <v>43.618421052631582</v>
      </c>
      <c r="D11" s="11">
        <v>45.311144251626892</v>
      </c>
      <c r="E11" s="11">
        <v>46.7</v>
      </c>
      <c r="F11" s="81">
        <v>48.1</v>
      </c>
      <c r="G11" s="11">
        <v>48.8</v>
      </c>
      <c r="H11" s="11">
        <v>49.4</v>
      </c>
    </row>
    <row r="12" spans="1:18" ht="14.25" customHeight="1">
      <c r="A12" s="200" t="s">
        <v>425</v>
      </c>
      <c r="B12" s="211"/>
      <c r="C12" s="212"/>
      <c r="D12" s="82"/>
      <c r="F12" s="212"/>
      <c r="G12" s="212"/>
      <c r="H12" s="212"/>
    </row>
    <row r="13" spans="1:18" ht="12" customHeight="1">
      <c r="A13" s="184"/>
      <c r="C13" s="83"/>
      <c r="D13" s="83"/>
      <c r="F13" s="83"/>
      <c r="G13" s="83"/>
      <c r="H13" s="83"/>
    </row>
    <row r="14" spans="1:18" ht="15.75">
      <c r="A14" s="184" t="s">
        <v>428</v>
      </c>
      <c r="B14" s="2" t="s">
        <v>120</v>
      </c>
      <c r="C14" s="267">
        <v>5460493.5319999997</v>
      </c>
      <c r="D14" s="267">
        <v>6137762.8029999994</v>
      </c>
      <c r="E14" s="267">
        <v>6920334</v>
      </c>
      <c r="F14" s="267">
        <v>7801729</v>
      </c>
      <c r="G14" s="267">
        <v>8575572</v>
      </c>
      <c r="H14" s="267">
        <v>9325216</v>
      </c>
      <c r="J14" s="12"/>
      <c r="K14" s="12"/>
      <c r="L14" s="12"/>
      <c r="M14" s="12"/>
      <c r="N14" s="12"/>
      <c r="Q14" s="11"/>
    </row>
    <row r="15" spans="1:18">
      <c r="B15" s="10"/>
      <c r="D15" s="138"/>
      <c r="F15" s="138"/>
      <c r="G15" s="138"/>
      <c r="H15" s="138"/>
    </row>
    <row r="16" spans="1:18" s="2" customFormat="1">
      <c r="A16" s="2" t="s">
        <v>429</v>
      </c>
      <c r="B16" s="84" t="s">
        <v>121</v>
      </c>
      <c r="C16" s="14">
        <v>4500527.3729999997</v>
      </c>
      <c r="D16" s="14">
        <v>5108428.102</v>
      </c>
      <c r="E16" s="14">
        <v>5793792</v>
      </c>
      <c r="F16" s="14">
        <v>6576712</v>
      </c>
      <c r="G16" s="14">
        <v>7264709</v>
      </c>
      <c r="H16" s="14">
        <v>7931120</v>
      </c>
      <c r="I16" s="3"/>
      <c r="J16" s="14">
        <f>J17+F23</f>
        <v>6576712</v>
      </c>
      <c r="K16" s="14">
        <f t="shared" ref="K16:L16" si="0">K17+G23</f>
        <v>7264709</v>
      </c>
      <c r="L16" s="14">
        <f t="shared" si="0"/>
        <v>7931120</v>
      </c>
      <c r="M16" s="14">
        <f t="shared" ref="M16" si="1">M17+I23</f>
        <v>0</v>
      </c>
      <c r="N16" s="14">
        <f>N17+J23</f>
        <v>0</v>
      </c>
      <c r="O16" s="14">
        <f t="shared" ref="O16" si="2">O17+K23</f>
        <v>0</v>
      </c>
      <c r="P16" s="3"/>
      <c r="Q16" s="3"/>
      <c r="R16" s="3"/>
    </row>
    <row r="17" spans="1:18" s="2" customFormat="1">
      <c r="A17" s="3" t="s">
        <v>126</v>
      </c>
      <c r="B17" s="10" t="s">
        <v>121</v>
      </c>
      <c r="C17" s="12">
        <v>4491727.71</v>
      </c>
      <c r="D17" s="185">
        <v>5106134.102</v>
      </c>
      <c r="E17" s="12">
        <v>5792572</v>
      </c>
      <c r="F17" s="86">
        <v>6575504</v>
      </c>
      <c r="G17" s="185">
        <v>7263654</v>
      </c>
      <c r="H17" s="185">
        <v>7930102</v>
      </c>
      <c r="I17" s="3"/>
      <c r="J17" s="12">
        <f>ROUND(F19*F20*12/1000,0)</f>
        <v>6575504</v>
      </c>
      <c r="K17" s="12">
        <f t="shared" ref="K17:L17" si="3">ROUND(G19*G20*12/1000,0)</f>
        <v>7263654</v>
      </c>
      <c r="L17" s="12">
        <f t="shared" si="3"/>
        <v>7930102</v>
      </c>
      <c r="M17" s="12">
        <f t="shared" ref="M17" si="4">ROUND(I19*I20*12/1000,0)</f>
        <v>0</v>
      </c>
      <c r="N17" s="12">
        <f t="shared" ref="N17" si="5">ROUND(J19*J20*12/1000,0)</f>
        <v>0</v>
      </c>
      <c r="O17" s="12">
        <f t="shared" ref="O17" si="6">ROUND(K19*K20*12/1000,0)</f>
        <v>0</v>
      </c>
      <c r="P17" s="3"/>
      <c r="Q17" s="3"/>
      <c r="R17" s="3"/>
    </row>
    <row r="18" spans="1:18">
      <c r="A18" s="85" t="s">
        <v>8</v>
      </c>
      <c r="B18" s="10" t="s">
        <v>9</v>
      </c>
      <c r="C18" s="12">
        <v>622378</v>
      </c>
      <c r="D18" s="185">
        <v>631507</v>
      </c>
      <c r="E18" s="12">
        <v>641000</v>
      </c>
      <c r="F18" s="86">
        <v>659000</v>
      </c>
      <c r="G18" s="185">
        <v>673000</v>
      </c>
      <c r="H18" s="185">
        <v>685000</v>
      </c>
      <c r="Q18" s="11"/>
    </row>
    <row r="19" spans="1:18">
      <c r="A19" s="85" t="s">
        <v>10</v>
      </c>
      <c r="B19" s="10" t="s">
        <v>2</v>
      </c>
      <c r="C19" s="12">
        <v>627301</v>
      </c>
      <c r="D19" s="185">
        <v>636583</v>
      </c>
      <c r="E19" s="12">
        <v>646152</v>
      </c>
      <c r="F19" s="86">
        <v>664297</v>
      </c>
      <c r="G19" s="185">
        <v>678410</v>
      </c>
      <c r="H19" s="185">
        <v>690506</v>
      </c>
    </row>
    <row r="20" spans="1:18">
      <c r="A20" s="85" t="s">
        <v>113</v>
      </c>
      <c r="B20" s="10" t="s">
        <v>4</v>
      </c>
      <c r="C20" s="3">
        <v>596.70000000000005</v>
      </c>
      <c r="D20" s="268">
        <v>668.43</v>
      </c>
      <c r="E20" s="3">
        <v>747.06</v>
      </c>
      <c r="F20" s="269">
        <v>824.87</v>
      </c>
      <c r="G20" s="270">
        <v>892.24</v>
      </c>
      <c r="H20" s="270">
        <v>957.04</v>
      </c>
    </row>
    <row r="21" spans="1:18">
      <c r="A21" s="85" t="s">
        <v>114</v>
      </c>
      <c r="B21" s="10" t="s">
        <v>4</v>
      </c>
      <c r="C21" s="3">
        <v>638.23</v>
      </c>
      <c r="D21" s="268">
        <v>718.73</v>
      </c>
      <c r="E21" s="3">
        <v>807.28</v>
      </c>
      <c r="F21" s="269">
        <v>895.36</v>
      </c>
      <c r="G21" s="270">
        <v>972.49</v>
      </c>
      <c r="H21" s="270">
        <v>1047.1199999999999</v>
      </c>
      <c r="Q21" s="11"/>
    </row>
    <row r="22" spans="1:18">
      <c r="A22" s="2" t="s">
        <v>430</v>
      </c>
      <c r="B22" s="10" t="s">
        <v>121</v>
      </c>
      <c r="C22" s="12">
        <v>8460.7740000000013</v>
      </c>
      <c r="D22" s="185">
        <v>10754.774000000001</v>
      </c>
      <c r="E22" s="12">
        <v>11975</v>
      </c>
      <c r="F22" s="86">
        <v>13183</v>
      </c>
      <c r="G22" s="185">
        <v>14238</v>
      </c>
      <c r="H22" s="185">
        <v>15256</v>
      </c>
    </row>
    <row r="23" spans="1:18">
      <c r="A23" s="2" t="s">
        <v>431</v>
      </c>
      <c r="B23" s="10" t="s">
        <v>121</v>
      </c>
      <c r="C23" s="12">
        <v>8799.6630000000005</v>
      </c>
      <c r="D23" s="185">
        <v>2294</v>
      </c>
      <c r="E23" s="12">
        <v>1220</v>
      </c>
      <c r="F23" s="86">
        <v>1208</v>
      </c>
      <c r="G23" s="185">
        <v>1055</v>
      </c>
      <c r="H23" s="185">
        <v>1018</v>
      </c>
    </row>
    <row r="24" spans="1:18" ht="10.5" customHeight="1">
      <c r="A24" s="186"/>
      <c r="B24" s="187"/>
      <c r="C24" s="188"/>
      <c r="D24" s="145"/>
      <c r="F24" s="138"/>
      <c r="G24" s="138"/>
      <c r="H24" s="138"/>
    </row>
    <row r="25" spans="1:18" s="2" customFormat="1" ht="12.75" customHeight="1">
      <c r="A25" s="189" t="s">
        <v>432</v>
      </c>
      <c r="B25" s="84" t="s">
        <v>121</v>
      </c>
      <c r="C25" s="14">
        <v>691014.19400000002</v>
      </c>
      <c r="D25" s="86">
        <v>731839.98199999996</v>
      </c>
      <c r="E25" s="14">
        <v>795266</v>
      </c>
      <c r="F25" s="86">
        <v>861481</v>
      </c>
      <c r="G25" s="86">
        <v>918390</v>
      </c>
      <c r="H25" s="86">
        <v>973915</v>
      </c>
      <c r="I25" s="3"/>
      <c r="J25" s="11"/>
      <c r="K25" s="11"/>
      <c r="L25" s="11"/>
      <c r="M25" s="11"/>
      <c r="N25" s="3"/>
      <c r="O25" s="3"/>
      <c r="P25" s="3"/>
      <c r="Q25" s="3"/>
      <c r="R25" s="3"/>
    </row>
    <row r="26" spans="1:18" s="2" customFormat="1" ht="12.75" customHeight="1">
      <c r="A26" s="189" t="s">
        <v>433</v>
      </c>
      <c r="B26" s="84"/>
      <c r="D26" s="86"/>
      <c r="F26" s="86"/>
      <c r="G26" s="86"/>
      <c r="H26" s="86"/>
      <c r="I26" s="3"/>
    </row>
    <row r="27" spans="1:18" ht="13.5" customHeight="1">
      <c r="A27" s="85" t="s">
        <v>414</v>
      </c>
      <c r="B27" s="10" t="s">
        <v>9</v>
      </c>
      <c r="C27" s="12">
        <v>139597</v>
      </c>
      <c r="D27" s="185">
        <v>135151</v>
      </c>
      <c r="E27" s="12">
        <v>132600</v>
      </c>
      <c r="F27" s="86">
        <v>130800</v>
      </c>
      <c r="G27" s="185">
        <v>129400</v>
      </c>
      <c r="H27" s="185">
        <v>128300</v>
      </c>
    </row>
    <row r="28" spans="1:18">
      <c r="A28" s="3" t="s">
        <v>415</v>
      </c>
    </row>
    <row r="29" spans="1:18" ht="12" hidden="1" customHeight="1">
      <c r="A29" s="85" t="s">
        <v>10</v>
      </c>
      <c r="B29" s="10" t="s">
        <v>2</v>
      </c>
      <c r="D29" s="185"/>
      <c r="F29" s="86"/>
      <c r="G29" s="185"/>
      <c r="H29" s="185"/>
    </row>
    <row r="30" spans="1:18" ht="12" hidden="1" customHeight="1">
      <c r="A30" s="85" t="s">
        <v>11</v>
      </c>
      <c r="B30" s="10" t="s">
        <v>4</v>
      </c>
      <c r="D30" s="190"/>
      <c r="F30" s="191"/>
      <c r="G30" s="190"/>
      <c r="H30" s="190"/>
    </row>
    <row r="31" spans="1:18" s="2" customFormat="1">
      <c r="A31" s="189" t="s">
        <v>434</v>
      </c>
      <c r="B31" s="84" t="s">
        <v>121</v>
      </c>
      <c r="C31" s="14">
        <v>119566.41099999999</v>
      </c>
      <c r="D31" s="86">
        <v>111087.17600000001</v>
      </c>
      <c r="E31" s="14">
        <v>102231</v>
      </c>
      <c r="F31" s="86">
        <v>95402</v>
      </c>
      <c r="G31" s="86">
        <v>87741</v>
      </c>
      <c r="H31" s="86">
        <v>80212</v>
      </c>
      <c r="I31" s="3"/>
      <c r="J31" s="12">
        <f>ROUND(F33*F34*12/1000,0)</f>
        <v>95402</v>
      </c>
      <c r="K31" s="12">
        <f t="shared" ref="K31:L31" si="7">ROUND(G33*G34*12/1000,0)</f>
        <v>87741</v>
      </c>
      <c r="L31" s="12">
        <f t="shared" si="7"/>
        <v>80212</v>
      </c>
      <c r="M31" s="2">
        <f>J31-F31</f>
        <v>0</v>
      </c>
      <c r="N31" s="2">
        <f t="shared" ref="N31" si="8">K31-G31</f>
        <v>0</v>
      </c>
      <c r="O31" s="2">
        <f t="shared" ref="O31" si="9">L31-H31</f>
        <v>0</v>
      </c>
      <c r="P31" s="3"/>
      <c r="Q31" s="3"/>
      <c r="R31" s="3"/>
    </row>
    <row r="32" spans="1:18">
      <c r="A32" s="85" t="s">
        <v>12</v>
      </c>
      <c r="B32" s="10" t="s">
        <v>9</v>
      </c>
      <c r="C32" s="12">
        <v>21511</v>
      </c>
      <c r="D32" s="185">
        <v>18141</v>
      </c>
      <c r="E32" s="12">
        <v>15100</v>
      </c>
      <c r="F32" s="86">
        <v>12800</v>
      </c>
      <c r="G32" s="185">
        <v>10900</v>
      </c>
      <c r="H32" s="185">
        <v>9300</v>
      </c>
      <c r="J32" s="12"/>
      <c r="K32" s="12"/>
      <c r="L32" s="12"/>
      <c r="M32" s="12"/>
      <c r="N32" s="12"/>
    </row>
    <row r="33" spans="1:18">
      <c r="A33" s="85" t="s">
        <v>13</v>
      </c>
      <c r="B33" s="10" t="s">
        <v>2</v>
      </c>
      <c r="C33" s="12">
        <v>21617</v>
      </c>
      <c r="D33" s="185">
        <v>18218</v>
      </c>
      <c r="E33" s="12">
        <v>15164</v>
      </c>
      <c r="F33" s="86">
        <v>12854</v>
      </c>
      <c r="G33" s="185">
        <v>10946</v>
      </c>
      <c r="H33" s="185">
        <v>9339</v>
      </c>
    </row>
    <row r="34" spans="1:18" ht="12.75" customHeight="1">
      <c r="A34" s="85" t="s">
        <v>14</v>
      </c>
      <c r="B34" s="10" t="s">
        <v>4</v>
      </c>
      <c r="C34" s="3">
        <v>460.93</v>
      </c>
      <c r="D34" s="268">
        <v>508.14</v>
      </c>
      <c r="E34" s="3">
        <v>561.80999999999995</v>
      </c>
      <c r="F34" s="271">
        <v>618.5</v>
      </c>
      <c r="G34" s="268">
        <v>667.98</v>
      </c>
      <c r="H34" s="268">
        <v>715.74</v>
      </c>
    </row>
    <row r="35" spans="1:18" ht="13.5" customHeight="1">
      <c r="A35" s="192"/>
      <c r="B35" s="193"/>
      <c r="D35" s="165"/>
      <c r="F35" s="165"/>
      <c r="G35" s="165"/>
      <c r="H35" s="165"/>
    </row>
    <row r="36" spans="1:18" s="2" customFormat="1" ht="12" customHeight="1">
      <c r="A36" s="189" t="s">
        <v>435</v>
      </c>
      <c r="B36" s="84" t="s">
        <v>121</v>
      </c>
      <c r="C36" s="14">
        <v>571447.78300000005</v>
      </c>
      <c r="D36" s="86">
        <v>620752.80599999998</v>
      </c>
      <c r="E36" s="14">
        <v>693035</v>
      </c>
      <c r="F36" s="86">
        <v>766079</v>
      </c>
      <c r="G36" s="86">
        <v>830649</v>
      </c>
      <c r="H36" s="86">
        <v>893703</v>
      </c>
      <c r="I36" s="3"/>
      <c r="J36" s="12">
        <f>J38+F43</f>
        <v>766079</v>
      </c>
      <c r="K36" s="12">
        <f>K38+G43</f>
        <v>830649</v>
      </c>
      <c r="L36" s="12">
        <f>L38+H43</f>
        <v>893703</v>
      </c>
      <c r="M36" s="2">
        <f>J36-F36</f>
        <v>0</v>
      </c>
      <c r="N36" s="2">
        <f t="shared" ref="N36" si="10">K36-G36</f>
        <v>0</v>
      </c>
      <c r="O36" s="2">
        <f t="shared" ref="O36" si="11">L36-H36</f>
        <v>0</v>
      </c>
      <c r="P36" s="3"/>
      <c r="Q36" s="3"/>
      <c r="R36" s="3"/>
    </row>
    <row r="37" spans="1:18" s="2" customFormat="1" ht="12" customHeight="1">
      <c r="A37" s="189" t="s">
        <v>436</v>
      </c>
      <c r="B37" s="84"/>
      <c r="D37" s="86"/>
      <c r="E37" s="14"/>
      <c r="F37" s="86"/>
      <c r="G37" s="86"/>
      <c r="H37" s="86"/>
      <c r="I37" s="3"/>
      <c r="J37" s="12"/>
      <c r="K37" s="12"/>
      <c r="L37" s="12"/>
      <c r="M37" s="12"/>
      <c r="N37" s="12"/>
      <c r="O37" s="3"/>
      <c r="P37" s="3"/>
      <c r="Q37" s="3"/>
      <c r="R37" s="3"/>
    </row>
    <row r="38" spans="1:18" s="2" customFormat="1" ht="12" customHeight="1">
      <c r="A38" s="85" t="s">
        <v>389</v>
      </c>
      <c r="B38" s="10" t="s">
        <v>121</v>
      </c>
      <c r="C38" s="12">
        <v>566985.3110000001</v>
      </c>
      <c r="D38" s="185">
        <v>618838.98100000003</v>
      </c>
      <c r="E38" s="12">
        <v>691971</v>
      </c>
      <c r="F38" s="86">
        <v>765026</v>
      </c>
      <c r="G38" s="185">
        <v>829729</v>
      </c>
      <c r="H38" s="185">
        <v>892815</v>
      </c>
      <c r="I38" s="3"/>
      <c r="J38" s="12">
        <f>ROUND(F40*F41*12/1000,0)</f>
        <v>765026</v>
      </c>
      <c r="K38" s="12">
        <f>ROUND(G40*G41*12/1000,0)</f>
        <v>829729</v>
      </c>
      <c r="L38" s="12">
        <f>ROUND(H40*H41*12/1000,0)</f>
        <v>892815</v>
      </c>
      <c r="M38" s="2">
        <f>J38-F38</f>
        <v>0</v>
      </c>
      <c r="N38" s="2">
        <f t="shared" ref="N38" si="12">K38-G38</f>
        <v>0</v>
      </c>
      <c r="O38" s="2">
        <f t="shared" ref="O38" si="13">L38-H38</f>
        <v>0</v>
      </c>
      <c r="P38" s="3"/>
      <c r="Q38" s="3"/>
      <c r="R38" s="3"/>
    </row>
    <row r="39" spans="1:18">
      <c r="A39" s="85" t="s">
        <v>390</v>
      </c>
      <c r="B39" s="10" t="s">
        <v>9</v>
      </c>
      <c r="C39" s="12">
        <v>118086</v>
      </c>
      <c r="D39" s="185">
        <v>117010</v>
      </c>
      <c r="E39" s="12">
        <v>117500</v>
      </c>
      <c r="F39" s="86">
        <v>118000</v>
      </c>
      <c r="G39" s="185">
        <v>118500</v>
      </c>
      <c r="H39" s="185">
        <v>119000</v>
      </c>
      <c r="J39" s="12"/>
      <c r="K39" s="12"/>
      <c r="L39" s="12"/>
      <c r="M39" s="12"/>
    </row>
    <row r="40" spans="1:18">
      <c r="A40" s="85" t="s">
        <v>15</v>
      </c>
      <c r="B40" s="10" t="s">
        <v>2</v>
      </c>
      <c r="C40" s="12">
        <v>123381</v>
      </c>
      <c r="D40" s="185">
        <v>122695</v>
      </c>
      <c r="E40" s="12">
        <v>123209</v>
      </c>
      <c r="F40" s="86">
        <v>123733</v>
      </c>
      <c r="G40" s="185">
        <v>124257</v>
      </c>
      <c r="H40" s="185">
        <v>124782</v>
      </c>
      <c r="I40" s="13"/>
    </row>
    <row r="41" spans="1:18" ht="13.5" customHeight="1">
      <c r="A41" s="85" t="s">
        <v>391</v>
      </c>
      <c r="B41" s="10" t="s">
        <v>4</v>
      </c>
      <c r="C41" s="3">
        <v>382.95</v>
      </c>
      <c r="D41" s="268">
        <v>420.31</v>
      </c>
      <c r="E41" s="3">
        <v>468.02</v>
      </c>
      <c r="F41" s="271">
        <v>515.24</v>
      </c>
      <c r="G41" s="268">
        <v>556.46</v>
      </c>
      <c r="H41" s="268">
        <v>596.25</v>
      </c>
    </row>
    <row r="42" spans="1:18" ht="13.5" customHeight="1">
      <c r="A42" s="85" t="s">
        <v>392</v>
      </c>
      <c r="B42" s="10" t="s">
        <v>121</v>
      </c>
      <c r="C42" s="12">
        <v>7462.8069999999998</v>
      </c>
      <c r="D42" s="272">
        <v>9376.6319999999996</v>
      </c>
      <c r="E42" s="12">
        <v>10441</v>
      </c>
      <c r="F42" s="273">
        <v>11494</v>
      </c>
      <c r="G42" s="272">
        <v>12414</v>
      </c>
      <c r="H42" s="272">
        <v>13302</v>
      </c>
    </row>
    <row r="43" spans="1:18" ht="13.5" customHeight="1">
      <c r="A43" s="85" t="s">
        <v>416</v>
      </c>
      <c r="B43" s="10" t="s">
        <v>121</v>
      </c>
      <c r="C43" s="12">
        <v>4462.4719999999998</v>
      </c>
      <c r="D43" s="272">
        <v>1913.825</v>
      </c>
      <c r="E43" s="12">
        <v>1064</v>
      </c>
      <c r="F43" s="273">
        <v>1053</v>
      </c>
      <c r="G43" s="272">
        <v>920</v>
      </c>
      <c r="H43" s="272">
        <v>888</v>
      </c>
    </row>
    <row r="44" spans="1:18">
      <c r="A44" s="85" t="s">
        <v>417</v>
      </c>
      <c r="B44" s="10"/>
      <c r="C44" s="87"/>
      <c r="D44" s="146"/>
      <c r="F44" s="87"/>
      <c r="G44" s="87"/>
      <c r="H44" s="87"/>
    </row>
    <row r="45" spans="1:18" s="2" customFormat="1">
      <c r="A45" s="194" t="s">
        <v>437</v>
      </c>
      <c r="B45" s="84" t="s">
        <v>121</v>
      </c>
      <c r="C45" s="14">
        <v>185226.12400000001</v>
      </c>
      <c r="D45" s="86">
        <v>203874.97700000001</v>
      </c>
      <c r="E45" s="14">
        <v>224818</v>
      </c>
      <c r="F45" s="86">
        <v>245855</v>
      </c>
      <c r="G45" s="86">
        <v>264759</v>
      </c>
      <c r="H45" s="86">
        <v>283006</v>
      </c>
      <c r="I45" s="3"/>
      <c r="J45" s="12"/>
      <c r="K45" s="12"/>
      <c r="L45" s="12"/>
      <c r="M45" s="12"/>
    </row>
    <row r="46" spans="1:18" ht="12" customHeight="1">
      <c r="A46" s="194" t="s">
        <v>438</v>
      </c>
      <c r="B46" s="84"/>
      <c r="D46" s="86"/>
      <c r="E46" s="14"/>
      <c r="F46" s="13"/>
      <c r="G46" s="13"/>
      <c r="H46" s="13"/>
    </row>
    <row r="47" spans="1:18">
      <c r="A47" s="195" t="s">
        <v>16</v>
      </c>
      <c r="B47" s="10" t="s">
        <v>9</v>
      </c>
      <c r="C47" s="12">
        <v>231596</v>
      </c>
      <c r="D47" s="185">
        <v>229335</v>
      </c>
      <c r="E47" s="12">
        <v>227470</v>
      </c>
      <c r="F47" s="86">
        <v>226520</v>
      </c>
      <c r="G47" s="185">
        <v>225275</v>
      </c>
      <c r="H47" s="185">
        <v>224135</v>
      </c>
    </row>
    <row r="48" spans="1:18">
      <c r="A48" s="195" t="s">
        <v>17</v>
      </c>
      <c r="C48" s="12"/>
      <c r="D48" s="12"/>
      <c r="E48" s="14"/>
      <c r="F48" s="14"/>
      <c r="G48" s="12"/>
      <c r="H48" s="12"/>
    </row>
    <row r="49" spans="1:18" ht="11.25" customHeight="1">
      <c r="A49" s="192"/>
      <c r="B49" s="192"/>
      <c r="C49" s="192"/>
      <c r="D49" s="192"/>
      <c r="E49" s="14"/>
      <c r="F49" s="192"/>
      <c r="G49" s="192"/>
      <c r="H49" s="192"/>
      <c r="J49" s="12"/>
      <c r="K49" s="12"/>
      <c r="L49" s="12"/>
    </row>
    <row r="50" spans="1:18" s="2" customFormat="1">
      <c r="A50" s="189" t="s">
        <v>127</v>
      </c>
      <c r="B50" s="84" t="s">
        <v>121</v>
      </c>
      <c r="C50" s="14">
        <v>3170.22</v>
      </c>
      <c r="D50" s="86">
        <v>3139.6030000000001</v>
      </c>
      <c r="E50" s="14">
        <v>3136</v>
      </c>
      <c r="F50" s="86">
        <v>3152</v>
      </c>
      <c r="G50" s="86">
        <v>3105</v>
      </c>
      <c r="H50" s="86">
        <v>3050</v>
      </c>
      <c r="I50" s="3"/>
      <c r="J50" s="12">
        <f>ROUND(F52*F53*12/1000,0)</f>
        <v>3152</v>
      </c>
      <c r="K50" s="12">
        <f t="shared" ref="K50:L50" si="14">ROUND(G52*G53*12/1000,0)</f>
        <v>3105</v>
      </c>
      <c r="L50" s="12">
        <f t="shared" si="14"/>
        <v>3050</v>
      </c>
      <c r="M50" s="2">
        <f>J50-F50</f>
        <v>0</v>
      </c>
      <c r="N50" s="2">
        <f t="shared" ref="N50" si="15">K50-G50</f>
        <v>0</v>
      </c>
      <c r="O50" s="2">
        <f t="shared" ref="O50" si="16">L50-H50</f>
        <v>0</v>
      </c>
      <c r="P50" s="3"/>
      <c r="Q50" s="3"/>
      <c r="R50" s="3"/>
    </row>
    <row r="51" spans="1:18">
      <c r="A51" s="85" t="s">
        <v>18</v>
      </c>
      <c r="B51" s="10" t="s">
        <v>9</v>
      </c>
      <c r="C51" s="12">
        <v>708</v>
      </c>
      <c r="D51" s="185">
        <v>630</v>
      </c>
      <c r="E51" s="12">
        <v>570</v>
      </c>
      <c r="F51" s="86">
        <v>520</v>
      </c>
      <c r="G51" s="185">
        <v>475</v>
      </c>
      <c r="H51" s="185">
        <v>435</v>
      </c>
      <c r="J51" s="12"/>
      <c r="K51" s="12"/>
      <c r="L51" s="12"/>
      <c r="M51" s="12"/>
    </row>
    <row r="52" spans="1:18">
      <c r="A52" s="85" t="s">
        <v>13</v>
      </c>
      <c r="B52" s="10" t="s">
        <v>2</v>
      </c>
      <c r="C52" s="12">
        <v>701</v>
      </c>
      <c r="D52" s="185">
        <v>621</v>
      </c>
      <c r="E52" s="12">
        <v>562</v>
      </c>
      <c r="F52" s="86">
        <v>513</v>
      </c>
      <c r="G52" s="185">
        <v>468</v>
      </c>
      <c r="H52" s="185">
        <v>429</v>
      </c>
    </row>
    <row r="53" spans="1:18">
      <c r="A53" s="85" t="s">
        <v>19</v>
      </c>
      <c r="B53" s="10" t="s">
        <v>4</v>
      </c>
      <c r="C53" s="3">
        <v>377.04</v>
      </c>
      <c r="D53" s="268">
        <v>421.22</v>
      </c>
      <c r="E53" s="3">
        <v>465.03</v>
      </c>
      <c r="F53" s="271">
        <v>511.95</v>
      </c>
      <c r="G53" s="268">
        <v>552.91</v>
      </c>
      <c r="H53" s="268">
        <v>592.44000000000005</v>
      </c>
    </row>
    <row r="54" spans="1:18" ht="12" customHeight="1">
      <c r="B54" s="193"/>
      <c r="D54" s="165"/>
      <c r="F54" s="165"/>
      <c r="G54" s="274"/>
      <c r="H54" s="274"/>
    </row>
    <row r="55" spans="1:18" s="2" customFormat="1">
      <c r="A55" s="194" t="s">
        <v>439</v>
      </c>
      <c r="B55" s="84" t="s">
        <v>121</v>
      </c>
      <c r="C55" s="14">
        <v>89486.990999999995</v>
      </c>
      <c r="D55" s="86">
        <v>99981.906000000003</v>
      </c>
      <c r="E55" s="14">
        <v>112152</v>
      </c>
      <c r="F55" s="86">
        <v>123839</v>
      </c>
      <c r="G55" s="86">
        <v>134135</v>
      </c>
      <c r="H55" s="86">
        <v>144161</v>
      </c>
      <c r="I55" s="3"/>
      <c r="J55" s="12">
        <f>J56+F61</f>
        <v>123839</v>
      </c>
      <c r="K55" s="12">
        <f t="shared" ref="K55:L55" si="17">K56+G61</f>
        <v>134135</v>
      </c>
      <c r="L55" s="12">
        <f t="shared" si="17"/>
        <v>144161</v>
      </c>
      <c r="M55" s="2">
        <f>J55-F55</f>
        <v>0</v>
      </c>
      <c r="N55" s="2">
        <f t="shared" ref="N55:N56" si="18">K55-G55</f>
        <v>0</v>
      </c>
      <c r="O55" s="2">
        <f t="shared" ref="O55:O56" si="19">L55-H55</f>
        <v>0</v>
      </c>
      <c r="P55" s="3"/>
      <c r="Q55" s="3"/>
      <c r="R55" s="3"/>
    </row>
    <row r="56" spans="1:18" s="2" customFormat="1">
      <c r="A56" s="195" t="s">
        <v>169</v>
      </c>
      <c r="B56" s="10" t="s">
        <v>121</v>
      </c>
      <c r="C56" s="12">
        <v>89060.111999999994</v>
      </c>
      <c r="D56" s="185">
        <v>99821.729000000007</v>
      </c>
      <c r="E56" s="12">
        <v>112033</v>
      </c>
      <c r="F56" s="86">
        <v>123721</v>
      </c>
      <c r="G56" s="185">
        <v>134032</v>
      </c>
      <c r="H56" s="185">
        <v>144061</v>
      </c>
      <c r="I56" s="3"/>
      <c r="J56" s="12">
        <f>ROUND(F58*F59*12/1000,0)</f>
        <v>123721</v>
      </c>
      <c r="K56" s="12">
        <f t="shared" ref="K56" si="20">ROUND(G58*G59*12/1000,0)</f>
        <v>134032</v>
      </c>
      <c r="L56" s="12">
        <f t="shared" ref="L56" si="21">ROUND(H58*H59*12/1000,0)</f>
        <v>144061</v>
      </c>
      <c r="M56" s="2">
        <f>J56-F56</f>
        <v>0</v>
      </c>
      <c r="N56" s="2">
        <f t="shared" si="18"/>
        <v>0</v>
      </c>
      <c r="O56" s="2">
        <f t="shared" si="19"/>
        <v>0</v>
      </c>
      <c r="P56" s="3"/>
      <c r="Q56" s="3"/>
      <c r="R56" s="3"/>
    </row>
    <row r="57" spans="1:18">
      <c r="A57" s="195" t="s">
        <v>20</v>
      </c>
      <c r="B57" s="10" t="s">
        <v>9</v>
      </c>
      <c r="C57" s="12">
        <v>31939</v>
      </c>
      <c r="D57" s="185">
        <v>32062</v>
      </c>
      <c r="E57" s="12">
        <v>32200</v>
      </c>
      <c r="F57" s="86">
        <v>32300</v>
      </c>
      <c r="G57" s="185">
        <v>32400</v>
      </c>
      <c r="H57" s="185">
        <v>32500</v>
      </c>
    </row>
    <row r="58" spans="1:18">
      <c r="A58" s="85" t="s">
        <v>13</v>
      </c>
      <c r="B58" s="10" t="s">
        <v>2</v>
      </c>
      <c r="C58" s="12">
        <v>33294</v>
      </c>
      <c r="D58" s="185">
        <v>33519</v>
      </c>
      <c r="E58" s="12">
        <v>33663</v>
      </c>
      <c r="F58" s="86">
        <v>33768</v>
      </c>
      <c r="G58" s="185">
        <v>33872</v>
      </c>
      <c r="H58" s="185">
        <v>33977</v>
      </c>
    </row>
    <row r="59" spans="1:18">
      <c r="A59" s="195" t="s">
        <v>19</v>
      </c>
      <c r="B59" s="10" t="s">
        <v>4</v>
      </c>
      <c r="C59" s="3">
        <v>222.91</v>
      </c>
      <c r="D59" s="190">
        <v>248.17</v>
      </c>
      <c r="E59" s="3">
        <v>277.33999999999997</v>
      </c>
      <c r="F59" s="191">
        <v>305.32</v>
      </c>
      <c r="G59" s="190">
        <v>329.75</v>
      </c>
      <c r="H59" s="190">
        <v>353.33</v>
      </c>
    </row>
    <row r="60" spans="1:18">
      <c r="A60" s="85" t="s">
        <v>170</v>
      </c>
      <c r="B60" s="10" t="s">
        <v>121</v>
      </c>
      <c r="C60" s="12">
        <v>893.41599999999994</v>
      </c>
      <c r="D60" s="185">
        <v>1053.5929999999998</v>
      </c>
      <c r="E60" s="12">
        <v>1173</v>
      </c>
      <c r="F60" s="86">
        <v>1291</v>
      </c>
      <c r="G60" s="185">
        <v>1394</v>
      </c>
      <c r="H60" s="185">
        <v>1494</v>
      </c>
    </row>
    <row r="61" spans="1:18">
      <c r="A61" s="85" t="s">
        <v>171</v>
      </c>
      <c r="B61" s="10" t="s">
        <v>121</v>
      </c>
      <c r="C61" s="12">
        <v>426.87900000000002</v>
      </c>
      <c r="D61" s="185">
        <v>160.17699999999999</v>
      </c>
      <c r="E61" s="12">
        <v>119</v>
      </c>
      <c r="F61" s="86">
        <v>118</v>
      </c>
      <c r="G61" s="185">
        <v>103</v>
      </c>
      <c r="H61" s="185">
        <v>100</v>
      </c>
    </row>
    <row r="62" spans="1:18" ht="11.25" customHeight="1">
      <c r="D62" s="12"/>
      <c r="F62" s="12"/>
      <c r="G62" s="12"/>
      <c r="H62" s="12"/>
    </row>
    <row r="63" spans="1:18">
      <c r="A63" s="194" t="s">
        <v>172</v>
      </c>
      <c r="B63" s="84" t="s">
        <v>121</v>
      </c>
      <c r="C63" s="14">
        <v>92568.913</v>
      </c>
      <c r="D63" s="14">
        <v>100753.46799999999</v>
      </c>
      <c r="E63" s="14">
        <v>109530</v>
      </c>
      <c r="F63" s="14">
        <v>118864</v>
      </c>
      <c r="G63" s="14">
        <v>127519</v>
      </c>
      <c r="H63" s="14">
        <v>135795</v>
      </c>
      <c r="J63" s="12"/>
      <c r="K63" s="12"/>
      <c r="L63" s="12"/>
      <c r="M63" s="12"/>
      <c r="N63" s="12"/>
    </row>
    <row r="64" spans="1:18">
      <c r="A64" s="195" t="s">
        <v>21</v>
      </c>
      <c r="B64" s="10" t="s">
        <v>9</v>
      </c>
      <c r="C64" s="12">
        <v>198949</v>
      </c>
      <c r="D64" s="12">
        <v>196643</v>
      </c>
      <c r="E64" s="12">
        <v>194700</v>
      </c>
      <c r="F64" s="14">
        <v>193700</v>
      </c>
      <c r="G64" s="12">
        <v>192400</v>
      </c>
      <c r="H64" s="12">
        <v>191200</v>
      </c>
      <c r="J64" s="12"/>
      <c r="K64" s="12"/>
      <c r="L64" s="12"/>
      <c r="M64" s="12"/>
    </row>
    <row r="65" spans="1:18">
      <c r="A65" s="195"/>
      <c r="B65" s="10"/>
      <c r="D65" s="12"/>
      <c r="E65" s="14"/>
      <c r="F65" s="12"/>
      <c r="G65" s="12"/>
      <c r="H65" s="12"/>
    </row>
    <row r="66" spans="1:18">
      <c r="A66" s="194" t="s">
        <v>440</v>
      </c>
      <c r="B66" s="84" t="s">
        <v>121</v>
      </c>
      <c r="C66" s="14">
        <v>79571.425000000003</v>
      </c>
      <c r="D66" s="14">
        <v>87527.076000000001</v>
      </c>
      <c r="E66" s="14">
        <v>96210</v>
      </c>
      <c r="F66" s="14">
        <v>105429</v>
      </c>
      <c r="G66" s="14">
        <v>114126</v>
      </c>
      <c r="H66" s="14">
        <v>122570</v>
      </c>
      <c r="J66" s="12">
        <f>J68+F73</f>
        <v>105429</v>
      </c>
      <c r="K66" s="12">
        <f>K68+G73</f>
        <v>114126</v>
      </c>
      <c r="L66" s="12">
        <f t="shared" ref="L66" si="22">L68+H73</f>
        <v>122570</v>
      </c>
      <c r="M66" s="2">
        <f>J66-F66</f>
        <v>0</v>
      </c>
      <c r="N66" s="2">
        <f t="shared" ref="N66" si="23">K66-G66</f>
        <v>0</v>
      </c>
      <c r="O66" s="2">
        <f t="shared" ref="O66" si="24">L66-H66</f>
        <v>0</v>
      </c>
    </row>
    <row r="67" spans="1:18">
      <c r="A67" s="194" t="s">
        <v>441</v>
      </c>
      <c r="B67" s="84"/>
      <c r="D67" s="14"/>
      <c r="E67" s="14"/>
      <c r="F67" s="14"/>
      <c r="G67" s="14"/>
      <c r="H67" s="14"/>
      <c r="J67" s="12"/>
      <c r="K67" s="12"/>
      <c r="L67" s="12"/>
      <c r="M67" s="12"/>
      <c r="N67" s="12"/>
    </row>
    <row r="68" spans="1:18">
      <c r="A68" s="195" t="s">
        <v>442</v>
      </c>
      <c r="B68" s="10" t="s">
        <v>121</v>
      </c>
      <c r="C68" s="14">
        <v>79131.659</v>
      </c>
      <c r="D68" s="14">
        <v>87443.551999999996</v>
      </c>
      <c r="E68" s="14">
        <v>96123</v>
      </c>
      <c r="F68" s="14">
        <v>105341</v>
      </c>
      <c r="G68" s="12">
        <v>114042</v>
      </c>
      <c r="H68" s="12">
        <v>122489</v>
      </c>
      <c r="J68" s="3">
        <f>ROUND(F70*F71*12/1000,0)</f>
        <v>105341</v>
      </c>
      <c r="K68" s="3">
        <f t="shared" ref="K68" si="25">ROUND(G70*G71*12/1000,0)</f>
        <v>114042</v>
      </c>
      <c r="L68" s="3">
        <f>ROUND(H70*H71*12/1000,0)</f>
        <v>122489</v>
      </c>
      <c r="M68" s="2">
        <f>J68-F68</f>
        <v>0</v>
      </c>
      <c r="N68" s="2">
        <f t="shared" ref="N68" si="26">K68-G68</f>
        <v>0</v>
      </c>
      <c r="O68" s="2">
        <f t="shared" ref="O68" si="27">L68-H68</f>
        <v>0</v>
      </c>
    </row>
    <row r="69" spans="1:18">
      <c r="A69" s="195" t="s">
        <v>21</v>
      </c>
      <c r="B69" s="10" t="s">
        <v>9</v>
      </c>
      <c r="C69" s="12">
        <v>170559</v>
      </c>
      <c r="D69" s="12">
        <v>170571</v>
      </c>
      <c r="E69" s="12">
        <v>170800</v>
      </c>
      <c r="F69" s="14">
        <v>171600</v>
      </c>
      <c r="G69" s="12">
        <v>172000</v>
      </c>
      <c r="H69" s="12">
        <v>172400</v>
      </c>
    </row>
    <row r="70" spans="1:18">
      <c r="A70" s="85" t="s">
        <v>13</v>
      </c>
      <c r="B70" s="10" t="s">
        <v>2</v>
      </c>
      <c r="C70" s="12">
        <v>171995</v>
      </c>
      <c r="D70" s="12">
        <v>172106</v>
      </c>
      <c r="E70" s="12">
        <v>172337</v>
      </c>
      <c r="F70" s="14">
        <v>173144</v>
      </c>
      <c r="G70" s="12">
        <v>173548</v>
      </c>
      <c r="H70" s="12">
        <v>173951</v>
      </c>
    </row>
    <row r="71" spans="1:18">
      <c r="A71" s="195" t="s">
        <v>22</v>
      </c>
      <c r="B71" s="10" t="s">
        <v>4</v>
      </c>
      <c r="C71" s="3">
        <v>38.340000000000003</v>
      </c>
      <c r="D71" s="3">
        <v>42.34</v>
      </c>
      <c r="E71" s="3">
        <v>46.48</v>
      </c>
      <c r="F71" s="2">
        <v>50.7</v>
      </c>
      <c r="G71" s="3">
        <v>54.76</v>
      </c>
      <c r="H71" s="3">
        <v>58.68</v>
      </c>
    </row>
    <row r="72" spans="1:18">
      <c r="A72" s="85" t="s">
        <v>173</v>
      </c>
      <c r="B72" s="10" t="s">
        <v>121</v>
      </c>
      <c r="C72" s="12">
        <v>793.73399999999992</v>
      </c>
      <c r="D72" s="12">
        <v>877.25799999999992</v>
      </c>
      <c r="E72" s="12">
        <v>964</v>
      </c>
      <c r="F72" s="14">
        <v>1052</v>
      </c>
      <c r="G72" s="12">
        <v>1136</v>
      </c>
      <c r="H72" s="12">
        <v>1217</v>
      </c>
    </row>
    <row r="73" spans="1:18">
      <c r="A73" s="85" t="s">
        <v>174</v>
      </c>
      <c r="B73" s="10" t="s">
        <v>121</v>
      </c>
      <c r="C73" s="12">
        <v>439.76600000000002</v>
      </c>
      <c r="D73" s="12">
        <v>83.524000000000001</v>
      </c>
      <c r="E73" s="12">
        <v>87</v>
      </c>
      <c r="F73" s="14">
        <v>88</v>
      </c>
      <c r="G73" s="12">
        <v>84</v>
      </c>
      <c r="H73" s="12">
        <v>81</v>
      </c>
    </row>
    <row r="74" spans="1:18" ht="9.75" customHeight="1">
      <c r="A74" s="189"/>
      <c r="B74" s="10"/>
      <c r="D74" s="190"/>
      <c r="F74" s="191"/>
      <c r="G74" s="190"/>
      <c r="H74" s="190"/>
    </row>
    <row r="75" spans="1:18">
      <c r="A75" s="194" t="s">
        <v>443</v>
      </c>
      <c r="B75" s="84" t="s">
        <v>121</v>
      </c>
      <c r="C75" s="14">
        <v>12997.487999999999</v>
      </c>
      <c r="D75" s="14">
        <v>13226.392</v>
      </c>
      <c r="E75" s="14">
        <v>13320</v>
      </c>
      <c r="F75" s="14">
        <v>13435</v>
      </c>
      <c r="G75" s="14">
        <v>13393</v>
      </c>
      <c r="H75" s="14">
        <v>13225</v>
      </c>
      <c r="J75" s="12">
        <f>ROUND(F77*F78*12/1000,0)</f>
        <v>13435</v>
      </c>
      <c r="K75" s="12">
        <f t="shared" ref="K75" si="28">ROUND(G77*G78*12/1000,0)</f>
        <v>13393</v>
      </c>
      <c r="L75" s="12">
        <f t="shared" ref="L75" si="29">ROUND(H77*H78*12/1000,0)</f>
        <v>13225</v>
      </c>
      <c r="M75" s="2">
        <f>J75-F75</f>
        <v>0</v>
      </c>
      <c r="N75" s="2">
        <f t="shared" ref="N75" si="30">K75-G75</f>
        <v>0</v>
      </c>
      <c r="O75" s="2">
        <f t="shared" ref="O75" si="31">L75-H75</f>
        <v>0</v>
      </c>
    </row>
    <row r="76" spans="1:18">
      <c r="A76" s="195" t="s">
        <v>21</v>
      </c>
      <c r="B76" s="10" t="s">
        <v>9</v>
      </c>
      <c r="C76" s="12">
        <v>28390</v>
      </c>
      <c r="D76" s="12">
        <v>26072</v>
      </c>
      <c r="E76" s="12">
        <v>23900</v>
      </c>
      <c r="F76" s="14">
        <v>22100</v>
      </c>
      <c r="G76" s="12">
        <v>20400</v>
      </c>
      <c r="H76" s="12">
        <v>18800</v>
      </c>
      <c r="J76" s="12"/>
      <c r="K76" s="12"/>
      <c r="L76" s="12"/>
      <c r="M76" s="12"/>
    </row>
    <row r="77" spans="1:18">
      <c r="A77" s="85" t="s">
        <v>13</v>
      </c>
      <c r="B77" s="10" t="s">
        <v>2</v>
      </c>
      <c r="C77" s="12">
        <v>28332</v>
      </c>
      <c r="D77" s="12">
        <v>26063</v>
      </c>
      <c r="E77" s="12">
        <v>23892</v>
      </c>
      <c r="F77" s="14">
        <v>22092</v>
      </c>
      <c r="G77" s="12">
        <v>20393</v>
      </c>
      <c r="H77" s="12">
        <v>18794</v>
      </c>
    </row>
    <row r="78" spans="1:18">
      <c r="A78" s="195" t="s">
        <v>22</v>
      </c>
      <c r="B78" s="10" t="s">
        <v>4</v>
      </c>
      <c r="C78" s="3">
        <v>38.229999999999997</v>
      </c>
      <c r="D78" s="3">
        <v>42.29</v>
      </c>
      <c r="E78" s="3">
        <v>46.46</v>
      </c>
      <c r="F78" s="2">
        <v>50.68</v>
      </c>
      <c r="G78" s="3">
        <v>54.73</v>
      </c>
      <c r="H78" s="3">
        <v>58.64</v>
      </c>
    </row>
    <row r="79" spans="1:18">
      <c r="A79" s="195"/>
      <c r="B79" s="10"/>
      <c r="D79" s="3"/>
      <c r="F79" s="84"/>
      <c r="G79" s="10"/>
      <c r="H79" s="10"/>
    </row>
    <row r="80" spans="1:18" s="2" customFormat="1" ht="15.75" customHeight="1">
      <c r="A80" s="189" t="s">
        <v>444</v>
      </c>
      <c r="B80" s="84" t="s">
        <v>121</v>
      </c>
      <c r="C80" s="14">
        <v>1270.4100000000001</v>
      </c>
      <c r="D80" s="86">
        <v>1324.586</v>
      </c>
      <c r="E80" s="14">
        <v>1403</v>
      </c>
      <c r="F80" s="86">
        <v>1467</v>
      </c>
      <c r="G80" s="86">
        <v>1515</v>
      </c>
      <c r="H80" s="86">
        <v>1550</v>
      </c>
      <c r="J80" s="12">
        <f>ROUND(F82*F83*12/1000,0)</f>
        <v>1467</v>
      </c>
      <c r="K80" s="12">
        <f t="shared" ref="K80" si="32">ROUND(G82*G83*12/1000,0)</f>
        <v>1515</v>
      </c>
      <c r="L80" s="12">
        <f t="shared" ref="L80" si="33">ROUND(H82*H83*12/1000,0)</f>
        <v>1550</v>
      </c>
      <c r="M80" s="2">
        <f>J80-F80</f>
        <v>0</v>
      </c>
      <c r="N80" s="2">
        <f t="shared" ref="N80" si="34">K80-G80</f>
        <v>0</v>
      </c>
      <c r="O80" s="2">
        <f t="shared" ref="O80" si="35">L80-H80</f>
        <v>0</v>
      </c>
      <c r="P80" s="3"/>
      <c r="Q80" s="3"/>
      <c r="R80" s="3"/>
    </row>
    <row r="81" spans="1:15">
      <c r="A81" s="3" t="s">
        <v>115</v>
      </c>
      <c r="B81" s="10" t="s">
        <v>9</v>
      </c>
      <c r="C81" s="12">
        <v>263</v>
      </c>
      <c r="D81" s="185">
        <v>249</v>
      </c>
      <c r="E81" s="12">
        <v>240</v>
      </c>
      <c r="F81" s="86">
        <v>230</v>
      </c>
      <c r="G81" s="185">
        <v>220</v>
      </c>
      <c r="H81" s="185">
        <v>210</v>
      </c>
      <c r="J81" s="12"/>
      <c r="K81" s="12"/>
      <c r="L81" s="12"/>
      <c r="M81" s="12"/>
    </row>
    <row r="82" spans="1:15" ht="13.5" customHeight="1">
      <c r="A82" s="85" t="s">
        <v>25</v>
      </c>
      <c r="B82" s="10" t="s">
        <v>2</v>
      </c>
      <c r="C82" s="12">
        <v>264</v>
      </c>
      <c r="D82" s="185">
        <v>249</v>
      </c>
      <c r="E82" s="12">
        <v>240</v>
      </c>
      <c r="F82" s="86">
        <v>230</v>
      </c>
      <c r="G82" s="185">
        <v>220</v>
      </c>
      <c r="H82" s="185">
        <v>210</v>
      </c>
    </row>
    <row r="83" spans="1:15">
      <c r="A83" s="85" t="s">
        <v>116</v>
      </c>
      <c r="B83" s="10" t="s">
        <v>4</v>
      </c>
      <c r="C83" s="3">
        <v>401.42</v>
      </c>
      <c r="D83" s="275">
        <v>443.88</v>
      </c>
      <c r="E83" s="3">
        <v>487.19</v>
      </c>
      <c r="F83" s="271">
        <v>531.42999999999995</v>
      </c>
      <c r="G83" s="268">
        <v>573.94000000000005</v>
      </c>
      <c r="H83" s="268">
        <v>614.98</v>
      </c>
    </row>
    <row r="84" spans="1:15" ht="49.5" customHeight="1">
      <c r="A84" s="85"/>
      <c r="B84" s="10"/>
      <c r="C84" s="55"/>
      <c r="D84" s="55"/>
      <c r="E84" s="55"/>
      <c r="F84" s="62"/>
      <c r="G84" s="61"/>
      <c r="H84" s="61"/>
    </row>
    <row r="85" spans="1:15" ht="14.25" customHeight="1">
      <c r="A85" s="85"/>
      <c r="B85" s="10"/>
      <c r="C85" s="55"/>
      <c r="D85" s="55"/>
      <c r="E85" s="55"/>
      <c r="F85" s="62"/>
      <c r="G85" s="60"/>
      <c r="H85" s="60" t="s">
        <v>5</v>
      </c>
    </row>
    <row r="86" spans="1:15">
      <c r="B86" s="10"/>
      <c r="C86" s="54"/>
      <c r="D86" s="54"/>
      <c r="E86" s="54"/>
      <c r="F86" s="63"/>
      <c r="G86" s="60"/>
      <c r="H86" s="60" t="s">
        <v>27</v>
      </c>
    </row>
    <row r="87" spans="1:15">
      <c r="B87" s="10"/>
      <c r="C87" s="54"/>
      <c r="D87" s="54"/>
      <c r="E87" s="54"/>
      <c r="F87" s="63"/>
      <c r="G87" s="60"/>
      <c r="H87" s="60"/>
    </row>
    <row r="88" spans="1:15" ht="12" customHeight="1">
      <c r="A88" s="44"/>
      <c r="B88" s="568" t="s">
        <v>1</v>
      </c>
      <c r="C88" s="566" t="s">
        <v>412</v>
      </c>
      <c r="D88" s="566" t="s">
        <v>500</v>
      </c>
      <c r="E88" s="566" t="s">
        <v>501</v>
      </c>
      <c r="F88" s="564" t="s">
        <v>502</v>
      </c>
      <c r="G88" s="566" t="s">
        <v>418</v>
      </c>
      <c r="H88" s="566" t="s">
        <v>503</v>
      </c>
    </row>
    <row r="89" spans="1:15" ht="17.25" customHeight="1">
      <c r="A89" s="45"/>
      <c r="B89" s="569" t="s">
        <v>2</v>
      </c>
      <c r="C89" s="570"/>
      <c r="D89" s="570"/>
      <c r="E89" s="570"/>
      <c r="F89" s="565"/>
      <c r="G89" s="567"/>
      <c r="H89" s="567"/>
    </row>
    <row r="90" spans="1:15" ht="9.75" customHeight="1">
      <c r="A90" s="4"/>
      <c r="B90" s="27"/>
      <c r="C90" s="27"/>
      <c r="D90" s="27"/>
      <c r="E90" s="5"/>
      <c r="F90" s="28"/>
      <c r="G90" s="5"/>
      <c r="H90" s="5"/>
    </row>
    <row r="91" spans="1:15" ht="12.4" customHeight="1">
      <c r="A91" s="189" t="s">
        <v>445</v>
      </c>
      <c r="B91" s="84" t="s">
        <v>121</v>
      </c>
      <c r="C91" s="14">
        <v>11896.353999999999</v>
      </c>
      <c r="D91" s="86">
        <v>11749.529</v>
      </c>
      <c r="E91" s="14">
        <v>11218</v>
      </c>
      <c r="F91" s="86">
        <v>10708</v>
      </c>
      <c r="G91" s="86">
        <v>10243</v>
      </c>
      <c r="H91" s="86">
        <v>9769</v>
      </c>
      <c r="J91" s="12">
        <f>ROUND(F94*F95*12/1000,0)</f>
        <v>10708</v>
      </c>
      <c r="K91" s="12">
        <f>ROUND(G94*G95*12/1000,0)</f>
        <v>10243</v>
      </c>
      <c r="L91" s="12">
        <f>ROUND(H94*H95*12/1000,0)</f>
        <v>9769</v>
      </c>
      <c r="M91" s="2">
        <f>J91-F91</f>
        <v>0</v>
      </c>
      <c r="N91" s="2">
        <f t="shared" ref="N91:O91" si="36">K91-G91</f>
        <v>0</v>
      </c>
      <c r="O91" s="2">
        <f t="shared" si="36"/>
        <v>0</v>
      </c>
    </row>
    <row r="92" spans="1:15" ht="12.4" customHeight="1">
      <c r="A92" s="85" t="s">
        <v>23</v>
      </c>
      <c r="B92" s="10"/>
      <c r="D92" s="13"/>
      <c r="E92" s="14"/>
      <c r="F92" s="13"/>
      <c r="G92" s="276"/>
      <c r="H92" s="276"/>
    </row>
    <row r="93" spans="1:15" ht="12.4" customHeight="1">
      <c r="A93" s="85" t="s">
        <v>24</v>
      </c>
      <c r="B93" s="10" t="s">
        <v>9</v>
      </c>
      <c r="C93" s="12">
        <v>2593</v>
      </c>
      <c r="D93" s="185">
        <v>2300</v>
      </c>
      <c r="E93" s="12">
        <v>2000</v>
      </c>
      <c r="F93" s="86">
        <v>1750</v>
      </c>
      <c r="G93" s="185">
        <v>1550</v>
      </c>
      <c r="H93" s="185">
        <v>1380</v>
      </c>
      <c r="J93" s="12"/>
      <c r="K93" s="12"/>
      <c r="L93" s="12"/>
      <c r="M93" s="12"/>
    </row>
    <row r="94" spans="1:15">
      <c r="A94" s="85" t="s">
        <v>25</v>
      </c>
      <c r="B94" s="10" t="s">
        <v>2</v>
      </c>
      <c r="C94" s="12">
        <v>2693</v>
      </c>
      <c r="D94" s="185">
        <v>2404</v>
      </c>
      <c r="E94" s="12">
        <v>2090</v>
      </c>
      <c r="F94" s="86">
        <v>1829</v>
      </c>
      <c r="G94" s="185">
        <v>1620</v>
      </c>
      <c r="H94" s="185">
        <v>1442</v>
      </c>
    </row>
    <row r="95" spans="1:15" ht="12.4" customHeight="1">
      <c r="A95" s="3" t="s">
        <v>26</v>
      </c>
      <c r="B95" s="10" t="s">
        <v>4</v>
      </c>
      <c r="C95" s="3">
        <v>368.07</v>
      </c>
      <c r="D95" s="275">
        <v>407.21</v>
      </c>
      <c r="E95" s="3">
        <v>447.27</v>
      </c>
      <c r="F95" s="277">
        <v>487.88</v>
      </c>
      <c r="G95" s="275">
        <v>526.9</v>
      </c>
      <c r="H95" s="275">
        <v>564.57000000000005</v>
      </c>
    </row>
    <row r="96" spans="1:15" ht="13.5" customHeight="1">
      <c r="A96" s="4"/>
      <c r="B96" s="196"/>
      <c r="D96" s="147"/>
      <c r="F96" s="28"/>
      <c r="G96" s="5"/>
      <c r="H96" s="5"/>
    </row>
    <row r="97" spans="1:15">
      <c r="A97" s="189" t="s">
        <v>446</v>
      </c>
      <c r="B97" s="84" t="s">
        <v>121</v>
      </c>
      <c r="C97" s="14">
        <v>51616.184999999998</v>
      </c>
      <c r="D97" s="86">
        <v>58877.56</v>
      </c>
      <c r="E97" s="14">
        <v>68104</v>
      </c>
      <c r="F97" s="86">
        <v>76805</v>
      </c>
      <c r="G97" s="86">
        <v>84924</v>
      </c>
      <c r="H97" s="86">
        <v>92581</v>
      </c>
      <c r="J97" s="12">
        <f>ROUND(F99*F100*12/1000,0)</f>
        <v>76805</v>
      </c>
      <c r="K97" s="12">
        <f t="shared" ref="K97" si="37">ROUND(G99*G100*12/1000,0)</f>
        <v>84924</v>
      </c>
      <c r="L97" s="12">
        <f t="shared" ref="L97" si="38">ROUND(H99*H100*12/1000,0)</f>
        <v>92581</v>
      </c>
      <c r="M97" s="2">
        <f>J97-F97</f>
        <v>0</v>
      </c>
      <c r="N97" s="2">
        <f t="shared" ref="N97" si="39">K97-G97</f>
        <v>0</v>
      </c>
      <c r="O97" s="2">
        <f t="shared" ref="O97" si="40">L97-H97</f>
        <v>0</v>
      </c>
    </row>
    <row r="98" spans="1:15">
      <c r="A98" s="3" t="s">
        <v>117</v>
      </c>
      <c r="B98" s="10" t="s">
        <v>9</v>
      </c>
      <c r="C98" s="12">
        <v>7759</v>
      </c>
      <c r="D98" s="185">
        <v>7987</v>
      </c>
      <c r="E98" s="12">
        <v>8200</v>
      </c>
      <c r="F98" s="86">
        <v>8400</v>
      </c>
      <c r="G98" s="185">
        <v>8600</v>
      </c>
      <c r="H98" s="185">
        <v>8750</v>
      </c>
      <c r="J98" s="12"/>
      <c r="K98" s="12"/>
      <c r="L98" s="12"/>
      <c r="M98" s="12"/>
    </row>
    <row r="99" spans="1:15">
      <c r="A99" s="85" t="s">
        <v>25</v>
      </c>
      <c r="B99" s="10" t="s">
        <v>2</v>
      </c>
      <c r="C99" s="12">
        <v>9000</v>
      </c>
      <c r="D99" s="185">
        <v>9226</v>
      </c>
      <c r="E99" s="12">
        <v>9472</v>
      </c>
      <c r="F99" s="86">
        <v>9703</v>
      </c>
      <c r="G99" s="185">
        <v>9934</v>
      </c>
      <c r="H99" s="185">
        <v>10107</v>
      </c>
    </row>
    <row r="100" spans="1:15">
      <c r="A100" s="3" t="s">
        <v>118</v>
      </c>
      <c r="B100" s="10" t="s">
        <v>4</v>
      </c>
      <c r="C100" s="3">
        <v>477.92</v>
      </c>
      <c r="D100" s="190">
        <v>531.80999999999995</v>
      </c>
      <c r="E100" s="3">
        <v>599.16999999999996</v>
      </c>
      <c r="F100" s="271">
        <v>659.63</v>
      </c>
      <c r="G100" s="268">
        <v>712.4</v>
      </c>
      <c r="H100" s="268">
        <v>763.34</v>
      </c>
    </row>
    <row r="101" spans="1:15">
      <c r="B101" s="10"/>
      <c r="D101" s="86"/>
      <c r="F101" s="13"/>
      <c r="G101" s="276"/>
      <c r="H101" s="276"/>
    </row>
    <row r="102" spans="1:15" ht="13.5" customHeight="1">
      <c r="A102" s="189" t="s">
        <v>447</v>
      </c>
      <c r="B102" s="84" t="s">
        <v>121</v>
      </c>
      <c r="C102" s="14">
        <v>18724.050999999999</v>
      </c>
      <c r="D102" s="86">
        <v>21559.368999999999</v>
      </c>
      <c r="E102" s="14">
        <v>25582</v>
      </c>
      <c r="F102" s="86">
        <v>28551</v>
      </c>
      <c r="G102" s="86">
        <v>30882</v>
      </c>
      <c r="H102" s="86">
        <v>33125</v>
      </c>
      <c r="J102" s="12">
        <f>ROUND(F104*F105/1000,0)</f>
        <v>28551</v>
      </c>
      <c r="K102" s="12">
        <f t="shared" ref="K102:L102" si="41">ROUND(G104*G105/1000,0)</f>
        <v>30882</v>
      </c>
      <c r="L102" s="12">
        <f t="shared" si="41"/>
        <v>33125</v>
      </c>
      <c r="M102" s="2">
        <f>J102-F102</f>
        <v>0</v>
      </c>
      <c r="N102" s="2">
        <f t="shared" ref="N102" si="42">K102-G102</f>
        <v>0</v>
      </c>
      <c r="O102" s="2">
        <f t="shared" ref="O102" si="43">L102-H102</f>
        <v>0</v>
      </c>
    </row>
    <row r="103" spans="1:15">
      <c r="A103" s="3" t="s">
        <v>448</v>
      </c>
      <c r="C103" s="14"/>
      <c r="E103" s="14"/>
      <c r="J103" s="12"/>
      <c r="K103" s="12"/>
      <c r="L103" s="12"/>
      <c r="M103" s="12"/>
    </row>
    <row r="104" spans="1:15">
      <c r="A104" s="3" t="s">
        <v>182</v>
      </c>
      <c r="B104" s="10" t="s">
        <v>2</v>
      </c>
      <c r="C104" s="12">
        <v>45061</v>
      </c>
      <c r="D104" s="185">
        <v>44443</v>
      </c>
      <c r="E104" s="12">
        <v>46500</v>
      </c>
      <c r="F104" s="86">
        <v>47000</v>
      </c>
      <c r="G104" s="185">
        <v>47000</v>
      </c>
      <c r="H104" s="185">
        <v>47000</v>
      </c>
    </row>
    <row r="105" spans="1:15" ht="12" customHeight="1">
      <c r="A105" s="3" t="s">
        <v>26</v>
      </c>
      <c r="B105" s="10" t="s">
        <v>4</v>
      </c>
      <c r="C105" s="3">
        <v>415.53</v>
      </c>
      <c r="D105" s="3">
        <v>485.1</v>
      </c>
      <c r="E105" s="3">
        <v>550.16</v>
      </c>
      <c r="F105" s="2">
        <v>607.46</v>
      </c>
      <c r="G105" s="3">
        <v>657.07</v>
      </c>
      <c r="H105" s="3">
        <v>704.79</v>
      </c>
    </row>
    <row r="106" spans="1:15" ht="12.75" customHeight="1">
      <c r="B106" s="10"/>
    </row>
    <row r="107" spans="1:15">
      <c r="A107" s="189" t="s">
        <v>449</v>
      </c>
      <c r="B107" s="84" t="s">
        <v>121</v>
      </c>
      <c r="C107" s="14">
        <v>203.32300000000001</v>
      </c>
      <c r="D107" s="14">
        <v>88.316000000000003</v>
      </c>
      <c r="E107" s="14">
        <v>150</v>
      </c>
      <c r="F107" s="14">
        <v>150</v>
      </c>
      <c r="G107" s="14">
        <v>150</v>
      </c>
      <c r="H107" s="14">
        <v>150</v>
      </c>
      <c r="J107" s="12"/>
      <c r="K107" s="12"/>
      <c r="L107" s="12"/>
      <c r="M107" s="12"/>
      <c r="N107" s="12"/>
    </row>
    <row r="108" spans="1:15" ht="13.5" customHeight="1">
      <c r="A108" s="3" t="s">
        <v>450</v>
      </c>
      <c r="B108" s="10"/>
      <c r="C108" s="278"/>
      <c r="D108" s="278"/>
      <c r="E108" s="278"/>
      <c r="J108" s="12"/>
      <c r="K108" s="12"/>
      <c r="L108" s="12"/>
      <c r="M108" s="12"/>
    </row>
    <row r="109" spans="1:15" ht="13.5" customHeight="1">
      <c r="B109" s="10"/>
      <c r="C109" s="278"/>
      <c r="D109" s="278"/>
      <c r="E109" s="278"/>
      <c r="J109" s="12"/>
      <c r="K109" s="12"/>
      <c r="L109" s="12"/>
      <c r="M109" s="12"/>
    </row>
    <row r="110" spans="1:15" ht="13.5" customHeight="1">
      <c r="A110" s="2" t="s">
        <v>451</v>
      </c>
      <c r="B110" s="84" t="s">
        <v>121</v>
      </c>
      <c r="C110" s="279">
        <v>16</v>
      </c>
      <c r="D110" s="14">
        <v>20</v>
      </c>
      <c r="E110" s="14">
        <v>0</v>
      </c>
      <c r="F110" s="14">
        <v>0</v>
      </c>
      <c r="G110" s="14">
        <v>0</v>
      </c>
      <c r="H110" s="14">
        <v>0</v>
      </c>
      <c r="J110" s="12"/>
      <c r="K110" s="12"/>
      <c r="L110" s="12"/>
      <c r="M110" s="12"/>
    </row>
    <row r="111" spans="1:15" ht="12" customHeight="1">
      <c r="A111" s="4"/>
      <c r="B111" s="36"/>
      <c r="C111" s="88"/>
      <c r="D111" s="88"/>
      <c r="E111" s="88"/>
      <c r="F111" s="89"/>
      <c r="G111" s="90"/>
      <c r="H111" s="90"/>
    </row>
    <row r="112" spans="1:15" s="32" customFormat="1" ht="18.75" customHeight="1">
      <c r="A112" s="213" t="s">
        <v>452</v>
      </c>
      <c r="B112" s="214" t="s">
        <v>121</v>
      </c>
      <c r="C112" s="280">
        <v>505333</v>
      </c>
      <c r="D112" s="280">
        <v>574109</v>
      </c>
      <c r="E112" s="280">
        <v>638381</v>
      </c>
      <c r="F112" s="280">
        <v>684989</v>
      </c>
      <c r="G112" s="280">
        <v>728684</v>
      </c>
      <c r="H112" s="280">
        <v>771424</v>
      </c>
      <c r="I112" s="33"/>
    </row>
    <row r="113" spans="1:17" s="32" customFormat="1">
      <c r="A113" s="38"/>
      <c r="B113" s="215"/>
      <c r="C113" s="281"/>
      <c r="D113" s="281"/>
      <c r="E113" s="281"/>
      <c r="F113" s="281"/>
      <c r="G113" s="281"/>
      <c r="H113" s="281"/>
      <c r="I113" s="33"/>
    </row>
    <row r="114" spans="1:17" s="32" customFormat="1" ht="16.5" customHeight="1">
      <c r="A114" s="216" t="s">
        <v>453</v>
      </c>
      <c r="B114" s="217" t="s">
        <v>121</v>
      </c>
      <c r="C114" s="7">
        <v>505333</v>
      </c>
      <c r="D114" s="7">
        <v>574108</v>
      </c>
      <c r="E114" s="7">
        <v>638381</v>
      </c>
      <c r="F114" s="7">
        <v>684989</v>
      </c>
      <c r="G114" s="7">
        <v>728684</v>
      </c>
      <c r="H114" s="7">
        <v>771424</v>
      </c>
      <c r="I114" s="33"/>
    </row>
    <row r="115" spans="1:17" s="32" customFormat="1" ht="15">
      <c r="A115" s="216" t="s">
        <v>454</v>
      </c>
      <c r="B115" s="215"/>
      <c r="C115" s="282"/>
      <c r="D115" s="282"/>
      <c r="E115" s="282"/>
      <c r="F115" s="282"/>
      <c r="G115" s="282"/>
      <c r="H115" s="282"/>
      <c r="I115" s="33"/>
    </row>
    <row r="116" spans="1:17" s="32" customFormat="1" ht="15.75" customHeight="1">
      <c r="A116" s="218" t="s">
        <v>455</v>
      </c>
      <c r="B116" s="217" t="s">
        <v>121</v>
      </c>
      <c r="C116" s="7">
        <v>505333</v>
      </c>
      <c r="D116" s="7">
        <v>574108</v>
      </c>
      <c r="E116" s="7">
        <v>638381</v>
      </c>
      <c r="F116" s="7">
        <v>684989</v>
      </c>
      <c r="G116" s="7">
        <v>728684</v>
      </c>
      <c r="H116" s="7">
        <v>771424</v>
      </c>
      <c r="I116" s="33"/>
      <c r="P116" s="3"/>
      <c r="Q116" s="11"/>
    </row>
    <row r="117" spans="1:17" s="32" customFormat="1" ht="12.75" customHeight="1">
      <c r="A117" s="38" t="s">
        <v>128</v>
      </c>
      <c r="B117" s="39" t="s">
        <v>121</v>
      </c>
      <c r="C117" s="56">
        <v>504984</v>
      </c>
      <c r="D117" s="56">
        <v>573717</v>
      </c>
      <c r="E117" s="56">
        <v>637984</v>
      </c>
      <c r="F117" s="57">
        <v>684646</v>
      </c>
      <c r="G117" s="56">
        <v>728352</v>
      </c>
      <c r="H117" s="56">
        <v>771097</v>
      </c>
      <c r="I117" s="33"/>
    </row>
    <row r="118" spans="1:17" s="32" customFormat="1">
      <c r="A118" s="38" t="s">
        <v>28</v>
      </c>
      <c r="B118" s="219" t="s">
        <v>29</v>
      </c>
      <c r="C118" s="283">
        <v>7.2</v>
      </c>
      <c r="D118" s="283">
        <v>7.38</v>
      </c>
      <c r="E118" s="283">
        <v>7.55</v>
      </c>
      <c r="F118" s="284">
        <v>7.57</v>
      </c>
      <c r="G118" s="283">
        <v>7.57</v>
      </c>
      <c r="H118" s="283">
        <v>7.57</v>
      </c>
      <c r="I118" s="33"/>
    </row>
    <row r="119" spans="1:17" s="32" customFormat="1">
      <c r="A119" s="38" t="s">
        <v>30</v>
      </c>
      <c r="B119" s="219" t="s">
        <v>29</v>
      </c>
      <c r="C119" s="285">
        <v>10175121</v>
      </c>
      <c r="D119" s="285">
        <v>10608325</v>
      </c>
      <c r="E119" s="285">
        <v>10887100</v>
      </c>
      <c r="F119" s="286">
        <v>10898529</v>
      </c>
      <c r="G119" s="285">
        <v>10887174</v>
      </c>
      <c r="H119" s="285">
        <v>10874305</v>
      </c>
      <c r="I119" s="33"/>
    </row>
    <row r="120" spans="1:17" s="32" customFormat="1">
      <c r="A120" s="38" t="s">
        <v>97</v>
      </c>
      <c r="B120" s="39" t="s">
        <v>4</v>
      </c>
      <c r="C120" s="283">
        <v>49.63</v>
      </c>
      <c r="D120" s="283">
        <v>54.08</v>
      </c>
      <c r="E120" s="283">
        <v>58.6</v>
      </c>
      <c r="F120" s="284">
        <v>62.82</v>
      </c>
      <c r="G120" s="283">
        <v>66.900000000000006</v>
      </c>
      <c r="H120" s="283">
        <v>70.91</v>
      </c>
      <c r="I120" s="33"/>
    </row>
    <row r="121" spans="1:17" s="32" customFormat="1">
      <c r="A121" s="38" t="s">
        <v>158</v>
      </c>
      <c r="B121" s="39" t="s">
        <v>121</v>
      </c>
      <c r="C121" s="56">
        <v>3982</v>
      </c>
      <c r="D121" s="56">
        <v>4373</v>
      </c>
      <c r="E121" s="56">
        <v>4770</v>
      </c>
      <c r="F121" s="287">
        <v>5113</v>
      </c>
      <c r="G121" s="56">
        <v>5445</v>
      </c>
      <c r="H121" s="56">
        <v>5772</v>
      </c>
      <c r="I121" s="33"/>
    </row>
    <row r="122" spans="1:17" s="32" customFormat="1">
      <c r="A122" s="38" t="s">
        <v>159</v>
      </c>
      <c r="B122" s="39" t="s">
        <v>121</v>
      </c>
      <c r="C122" s="288">
        <v>349</v>
      </c>
      <c r="D122" s="288">
        <v>391</v>
      </c>
      <c r="E122" s="56">
        <v>397</v>
      </c>
      <c r="F122" s="57">
        <v>343</v>
      </c>
      <c r="G122" s="56">
        <v>332</v>
      </c>
      <c r="H122" s="56">
        <v>327</v>
      </c>
      <c r="I122" s="33"/>
    </row>
    <row r="123" spans="1:17" s="32" customFormat="1">
      <c r="A123" s="38"/>
      <c r="B123" s="39"/>
      <c r="C123" s="220"/>
      <c r="D123" s="220"/>
      <c r="E123" s="220"/>
      <c r="F123" s="220"/>
      <c r="G123" s="220"/>
      <c r="H123" s="220"/>
      <c r="I123" s="33"/>
    </row>
    <row r="124" spans="1:17" s="32" customFormat="1">
      <c r="A124" s="218" t="s">
        <v>456</v>
      </c>
      <c r="B124" s="217" t="s">
        <v>121</v>
      </c>
      <c r="C124" s="289">
        <v>0</v>
      </c>
      <c r="D124" s="289">
        <v>0</v>
      </c>
      <c r="E124" s="289">
        <v>0</v>
      </c>
      <c r="F124" s="289">
        <v>0</v>
      </c>
      <c r="G124" s="289">
        <v>0</v>
      </c>
      <c r="H124" s="289">
        <v>0</v>
      </c>
      <c r="I124" s="33"/>
    </row>
    <row r="125" spans="1:17" s="32" customFormat="1">
      <c r="A125" s="38" t="s">
        <v>31</v>
      </c>
      <c r="B125" s="219" t="s">
        <v>9</v>
      </c>
      <c r="C125" s="56">
        <v>0</v>
      </c>
      <c r="D125" s="56">
        <v>0</v>
      </c>
      <c r="E125" s="56">
        <v>0</v>
      </c>
      <c r="F125" s="57">
        <v>0</v>
      </c>
      <c r="G125" s="56">
        <v>0</v>
      </c>
      <c r="H125" s="56">
        <v>0</v>
      </c>
      <c r="I125" s="33"/>
    </row>
    <row r="126" spans="1:17" s="32" customFormat="1">
      <c r="A126" s="221" t="s">
        <v>103</v>
      </c>
      <c r="B126" s="219" t="s">
        <v>29</v>
      </c>
      <c r="C126" s="56">
        <v>0</v>
      </c>
      <c r="D126" s="56">
        <v>0</v>
      </c>
      <c r="E126" s="56">
        <v>0</v>
      </c>
      <c r="F126" s="57">
        <v>0</v>
      </c>
      <c r="G126" s="56">
        <v>0</v>
      </c>
      <c r="H126" s="56">
        <v>0</v>
      </c>
      <c r="I126" s="33"/>
    </row>
    <row r="127" spans="1:17" s="32" customFormat="1">
      <c r="A127" s="221" t="s">
        <v>104</v>
      </c>
      <c r="B127" s="39" t="s">
        <v>4</v>
      </c>
      <c r="C127" s="222">
        <v>0</v>
      </c>
      <c r="D127" s="222">
        <v>0</v>
      </c>
      <c r="E127" s="222">
        <v>0</v>
      </c>
      <c r="F127" s="7">
        <v>0</v>
      </c>
      <c r="G127" s="222">
        <v>0</v>
      </c>
      <c r="H127" s="222">
        <v>0</v>
      </c>
      <c r="I127" s="33"/>
    </row>
    <row r="128" spans="1:17" s="32" customFormat="1">
      <c r="A128" s="38"/>
      <c r="B128" s="39"/>
      <c r="F128" s="290"/>
      <c r="I128" s="33"/>
    </row>
    <row r="129" spans="1:18" s="32" customFormat="1" ht="14.25">
      <c r="A129" s="216" t="s">
        <v>457</v>
      </c>
      <c r="B129" s="217" t="s">
        <v>121</v>
      </c>
      <c r="C129" s="291">
        <v>0</v>
      </c>
      <c r="D129" s="291">
        <v>1.1000000000000001</v>
      </c>
      <c r="E129" s="291">
        <v>0</v>
      </c>
      <c r="F129" s="291">
        <v>0</v>
      </c>
      <c r="G129" s="291">
        <v>0</v>
      </c>
      <c r="H129" s="291">
        <v>0</v>
      </c>
      <c r="I129" s="33"/>
    </row>
    <row r="130" spans="1:18" s="32" customFormat="1" ht="14.25">
      <c r="A130" s="216" t="s">
        <v>458</v>
      </c>
      <c r="B130" s="215"/>
      <c r="C130" s="7"/>
      <c r="D130" s="7"/>
      <c r="E130" s="7"/>
      <c r="F130" s="7"/>
      <c r="G130" s="7"/>
      <c r="H130" s="7"/>
      <c r="I130" s="33"/>
    </row>
    <row r="131" spans="1:18" s="32" customFormat="1">
      <c r="A131" s="40"/>
      <c r="B131" s="215"/>
      <c r="C131" s="7"/>
      <c r="D131" s="7"/>
      <c r="E131" s="7"/>
      <c r="F131" s="7"/>
      <c r="G131" s="7"/>
      <c r="H131" s="7"/>
      <c r="I131" s="33"/>
    </row>
    <row r="132" spans="1:18" s="32" customFormat="1" ht="15.75">
      <c r="A132" s="213" t="s">
        <v>459</v>
      </c>
      <c r="B132" s="214" t="s">
        <v>121</v>
      </c>
      <c r="C132" s="280">
        <v>461660</v>
      </c>
      <c r="D132" s="280">
        <v>454907</v>
      </c>
      <c r="E132" s="280">
        <v>490381</v>
      </c>
      <c r="F132" s="280">
        <v>523728</v>
      </c>
      <c r="G132" s="280">
        <v>557694</v>
      </c>
      <c r="H132" s="280">
        <v>591111</v>
      </c>
      <c r="I132" s="33"/>
      <c r="P132" s="3"/>
      <c r="Q132" s="11"/>
    </row>
    <row r="133" spans="1:18" s="32" customFormat="1" ht="6" customHeight="1">
      <c r="A133" s="213"/>
      <c r="B133" s="214"/>
      <c r="C133" s="7"/>
      <c r="D133" s="7"/>
      <c r="E133" s="7"/>
      <c r="F133" s="7"/>
      <c r="G133" s="7"/>
      <c r="H133" s="7"/>
      <c r="I133" s="33"/>
    </row>
    <row r="134" spans="1:18" s="32" customFormat="1" ht="14.25">
      <c r="A134" s="216" t="s">
        <v>460</v>
      </c>
      <c r="B134" s="217" t="s">
        <v>121</v>
      </c>
      <c r="C134" s="7">
        <v>461660</v>
      </c>
      <c r="D134" s="7">
        <v>454907</v>
      </c>
      <c r="E134" s="7">
        <v>490381</v>
      </c>
      <c r="F134" s="7">
        <v>523728</v>
      </c>
      <c r="G134" s="7">
        <v>557694</v>
      </c>
      <c r="H134" s="7">
        <v>591111</v>
      </c>
      <c r="I134" s="33"/>
      <c r="P134" s="243"/>
      <c r="Q134" s="243"/>
      <c r="R134" s="243"/>
    </row>
    <row r="135" spans="1:18" s="32" customFormat="1" ht="15">
      <c r="A135" s="216" t="s">
        <v>461</v>
      </c>
      <c r="B135" s="215"/>
      <c r="C135" s="56"/>
      <c r="D135" s="56"/>
      <c r="E135" s="56"/>
      <c r="F135" s="56"/>
      <c r="G135" s="56"/>
      <c r="H135" s="56"/>
      <c r="I135" s="33"/>
    </row>
    <row r="136" spans="1:18" s="32" customFormat="1" ht="13.5" customHeight="1">
      <c r="A136" s="216"/>
      <c r="B136" s="215"/>
      <c r="C136" s="7"/>
      <c r="D136" s="7"/>
      <c r="E136" s="7"/>
      <c r="F136" s="7"/>
      <c r="G136" s="7"/>
      <c r="H136" s="7"/>
      <c r="I136" s="33"/>
    </row>
    <row r="137" spans="1:18" s="32" customFormat="1">
      <c r="A137" s="218" t="s">
        <v>462</v>
      </c>
      <c r="B137" s="217" t="s">
        <v>121</v>
      </c>
      <c r="C137" s="7">
        <v>105069</v>
      </c>
      <c r="D137" s="7">
        <v>111371</v>
      </c>
      <c r="E137" s="7">
        <v>124634</v>
      </c>
      <c r="F137" s="7">
        <v>133932</v>
      </c>
      <c r="G137" s="7">
        <v>142631</v>
      </c>
      <c r="H137" s="7">
        <v>151187</v>
      </c>
      <c r="I137" s="33"/>
      <c r="P137" s="3"/>
      <c r="Q137" s="11"/>
    </row>
    <row r="138" spans="1:18" s="32" customFormat="1">
      <c r="A138" s="38" t="s">
        <v>129</v>
      </c>
      <c r="B138" s="39" t="s">
        <v>121</v>
      </c>
      <c r="C138" s="56">
        <v>105034</v>
      </c>
      <c r="D138" s="56">
        <v>111487</v>
      </c>
      <c r="E138" s="56">
        <v>124619</v>
      </c>
      <c r="F138" s="57">
        <v>133919</v>
      </c>
      <c r="G138" s="56">
        <v>142618</v>
      </c>
      <c r="H138" s="56">
        <v>151174</v>
      </c>
      <c r="I138" s="33"/>
    </row>
    <row r="139" spans="1:18" s="32" customFormat="1">
      <c r="A139" s="38" t="s">
        <v>31</v>
      </c>
      <c r="B139" s="219" t="s">
        <v>9</v>
      </c>
      <c r="C139" s="56">
        <v>16442</v>
      </c>
      <c r="D139" s="56">
        <v>15874</v>
      </c>
      <c r="E139" s="56">
        <v>16000</v>
      </c>
      <c r="F139" s="57">
        <v>15900</v>
      </c>
      <c r="G139" s="56">
        <v>15900</v>
      </c>
      <c r="H139" s="56">
        <v>15900</v>
      </c>
      <c r="I139" s="33"/>
    </row>
    <row r="140" spans="1:18" s="32" customFormat="1">
      <c r="A140" s="38" t="s">
        <v>95</v>
      </c>
      <c r="B140" s="219" t="s">
        <v>29</v>
      </c>
      <c r="C140" s="56">
        <v>1334465</v>
      </c>
      <c r="D140" s="56">
        <v>1279678</v>
      </c>
      <c r="E140" s="56">
        <v>1299200</v>
      </c>
      <c r="F140" s="57">
        <v>1302210</v>
      </c>
      <c r="G140" s="56">
        <v>1302210</v>
      </c>
      <c r="H140" s="56">
        <v>1302210</v>
      </c>
      <c r="I140" s="33"/>
    </row>
    <row r="141" spans="1:18" s="32" customFormat="1" ht="12.75" customHeight="1">
      <c r="A141" s="38" t="s">
        <v>94</v>
      </c>
      <c r="B141" s="219" t="s">
        <v>29</v>
      </c>
      <c r="C141" s="41">
        <v>81.2</v>
      </c>
      <c r="D141" s="41">
        <v>81.2</v>
      </c>
      <c r="E141" s="41">
        <v>81.2</v>
      </c>
      <c r="F141" s="58">
        <v>81.900000000000006</v>
      </c>
      <c r="G141" s="41">
        <v>81.900000000000006</v>
      </c>
      <c r="H141" s="41">
        <v>81.900000000000006</v>
      </c>
      <c r="I141" s="33"/>
    </row>
    <row r="142" spans="1:18" s="32" customFormat="1" ht="12.75" customHeight="1">
      <c r="A142" s="38" t="s">
        <v>99</v>
      </c>
      <c r="B142" s="39" t="s">
        <v>4</v>
      </c>
      <c r="C142" s="283">
        <v>78.709999999999994</v>
      </c>
      <c r="D142" s="283">
        <v>87.12</v>
      </c>
      <c r="E142" s="283">
        <v>95.92</v>
      </c>
      <c r="F142" s="284">
        <v>102.84</v>
      </c>
      <c r="G142" s="283">
        <v>109.52</v>
      </c>
      <c r="H142" s="283">
        <v>116.09</v>
      </c>
      <c r="I142" s="33"/>
    </row>
    <row r="143" spans="1:18" s="32" customFormat="1">
      <c r="A143" s="38" t="s">
        <v>160</v>
      </c>
      <c r="B143" s="39" t="s">
        <v>121</v>
      </c>
      <c r="C143" s="56">
        <v>277</v>
      </c>
      <c r="D143" s="56">
        <v>161</v>
      </c>
      <c r="E143" s="56">
        <v>183</v>
      </c>
      <c r="F143" s="57">
        <v>196</v>
      </c>
      <c r="G143" s="56">
        <v>209</v>
      </c>
      <c r="H143" s="56">
        <v>222</v>
      </c>
      <c r="I143" s="33"/>
    </row>
    <row r="144" spans="1:18" s="32" customFormat="1">
      <c r="A144" s="223" t="s">
        <v>161</v>
      </c>
      <c r="B144" s="39" t="s">
        <v>121</v>
      </c>
      <c r="C144" s="292">
        <v>35</v>
      </c>
      <c r="D144" s="292">
        <v>-116</v>
      </c>
      <c r="E144" s="288">
        <v>15</v>
      </c>
      <c r="F144" s="57">
        <v>13</v>
      </c>
      <c r="G144" s="56">
        <v>13</v>
      </c>
      <c r="H144" s="56">
        <v>13</v>
      </c>
      <c r="I144" s="33"/>
    </row>
    <row r="145" spans="1:18" s="32" customFormat="1">
      <c r="A145" s="38"/>
      <c r="B145" s="219"/>
      <c r="C145" s="7"/>
      <c r="D145" s="7"/>
      <c r="E145" s="7"/>
      <c r="F145" s="7"/>
      <c r="G145" s="7"/>
      <c r="H145" s="7"/>
      <c r="I145" s="33"/>
    </row>
    <row r="146" spans="1:18" s="32" customFormat="1" ht="25.5">
      <c r="A146" s="224" t="s">
        <v>463</v>
      </c>
      <c r="B146" s="217" t="s">
        <v>121</v>
      </c>
      <c r="C146" s="289">
        <v>332997</v>
      </c>
      <c r="D146" s="289">
        <v>317935</v>
      </c>
      <c r="E146" s="289">
        <v>337857</v>
      </c>
      <c r="F146" s="289">
        <v>360092</v>
      </c>
      <c r="G146" s="289">
        <v>383433</v>
      </c>
      <c r="H146" s="289">
        <v>406400</v>
      </c>
      <c r="I146" s="33"/>
      <c r="P146" s="3"/>
      <c r="Q146" s="3"/>
      <c r="R146" s="3"/>
    </row>
    <row r="147" spans="1:18" s="32" customFormat="1" ht="7.5" customHeight="1">
      <c r="A147" s="40"/>
      <c r="B147" s="215"/>
      <c r="C147" s="57"/>
      <c r="D147" s="57"/>
      <c r="E147" s="57"/>
      <c r="F147" s="57"/>
      <c r="G147" s="57"/>
      <c r="H147" s="57"/>
      <c r="I147" s="33"/>
    </row>
    <row r="148" spans="1:18" s="32" customFormat="1" ht="12.75" customHeight="1">
      <c r="A148" s="225" t="s">
        <v>162</v>
      </c>
      <c r="B148" s="217" t="s">
        <v>121</v>
      </c>
      <c r="C148" s="57">
        <v>188985</v>
      </c>
      <c r="D148" s="57">
        <v>202531</v>
      </c>
      <c r="E148" s="57">
        <v>220090</v>
      </c>
      <c r="F148" s="293">
        <v>234880</v>
      </c>
      <c r="G148" s="293">
        <v>250087</v>
      </c>
      <c r="H148" s="293">
        <v>265052</v>
      </c>
      <c r="I148" s="33"/>
    </row>
    <row r="149" spans="1:18" s="32" customFormat="1" ht="12.75" customHeight="1">
      <c r="A149" s="225" t="s">
        <v>464</v>
      </c>
      <c r="B149" s="215"/>
      <c r="C149" s="56"/>
      <c r="D149" s="56"/>
      <c r="E149" s="56"/>
      <c r="F149" s="57"/>
      <c r="G149" s="56"/>
      <c r="H149" s="56"/>
      <c r="I149" s="33"/>
    </row>
    <row r="150" spans="1:18" s="32" customFormat="1" ht="12.75" customHeight="1">
      <c r="A150" s="225" t="s">
        <v>465</v>
      </c>
      <c r="B150" s="39" t="s">
        <v>121</v>
      </c>
      <c r="C150" s="56">
        <v>186933</v>
      </c>
      <c r="D150" s="56">
        <v>199841</v>
      </c>
      <c r="E150" s="56">
        <v>219482</v>
      </c>
      <c r="F150" s="57">
        <v>234353</v>
      </c>
      <c r="G150" s="56">
        <v>249577</v>
      </c>
      <c r="H150" s="56">
        <v>264551</v>
      </c>
      <c r="I150" s="33"/>
    </row>
    <row r="151" spans="1:18" s="32" customFormat="1" ht="14.25" customHeight="1">
      <c r="A151" s="38" t="s">
        <v>105</v>
      </c>
      <c r="B151" s="219" t="s">
        <v>9</v>
      </c>
      <c r="C151" s="285">
        <v>11061</v>
      </c>
      <c r="D151" s="285">
        <v>12514</v>
      </c>
      <c r="E151" s="285">
        <v>12600</v>
      </c>
      <c r="F151" s="286">
        <v>12550</v>
      </c>
      <c r="G151" s="285">
        <v>12550</v>
      </c>
      <c r="H151" s="285">
        <v>12550</v>
      </c>
      <c r="I151" s="33"/>
    </row>
    <row r="152" spans="1:18" s="32" customFormat="1">
      <c r="A152" s="38" t="s">
        <v>106</v>
      </c>
      <c r="B152" s="39" t="s">
        <v>4</v>
      </c>
      <c r="C152" s="283">
        <v>1408.35</v>
      </c>
      <c r="D152" s="283">
        <v>1330.78</v>
      </c>
      <c r="E152" s="283">
        <v>1451.6</v>
      </c>
      <c r="F152" s="284">
        <v>1556.13</v>
      </c>
      <c r="G152" s="283">
        <v>1657.22</v>
      </c>
      <c r="H152" s="283">
        <v>1756.65</v>
      </c>
      <c r="I152" s="33"/>
    </row>
    <row r="153" spans="1:18" s="32" customFormat="1" ht="15" customHeight="1">
      <c r="A153" s="38" t="s">
        <v>163</v>
      </c>
      <c r="B153" s="39" t="s">
        <v>121</v>
      </c>
      <c r="C153" s="56">
        <v>4019</v>
      </c>
      <c r="D153" s="56">
        <v>6708</v>
      </c>
      <c r="E153" s="56">
        <v>7316</v>
      </c>
      <c r="F153" s="57">
        <v>7843</v>
      </c>
      <c r="G153" s="56">
        <v>8353</v>
      </c>
      <c r="H153" s="56">
        <v>8854</v>
      </c>
      <c r="I153" s="33"/>
    </row>
    <row r="154" spans="1:18" s="32" customFormat="1" ht="15" customHeight="1">
      <c r="A154" s="38" t="s">
        <v>164</v>
      </c>
      <c r="B154" s="39" t="s">
        <v>121</v>
      </c>
      <c r="C154" s="288">
        <v>2052</v>
      </c>
      <c r="D154" s="288">
        <v>2690</v>
      </c>
      <c r="E154" s="56">
        <v>608</v>
      </c>
      <c r="F154" s="57">
        <v>527</v>
      </c>
      <c r="G154" s="56">
        <v>510</v>
      </c>
      <c r="H154" s="56">
        <v>501</v>
      </c>
      <c r="I154" s="33"/>
    </row>
    <row r="155" spans="1:18" s="32" customFormat="1" ht="15" customHeight="1">
      <c r="A155" s="38"/>
      <c r="B155" s="219"/>
      <c r="C155" s="57"/>
      <c r="D155" s="57"/>
      <c r="E155" s="57"/>
      <c r="F155" s="57"/>
      <c r="G155" s="57"/>
      <c r="H155" s="57"/>
      <c r="I155" s="33"/>
    </row>
    <row r="156" spans="1:18" s="32" customFormat="1" ht="15" customHeight="1">
      <c r="A156" s="225" t="s">
        <v>207</v>
      </c>
      <c r="B156" s="217" t="s">
        <v>121</v>
      </c>
      <c r="C156" s="57">
        <v>144012</v>
      </c>
      <c r="D156" s="57">
        <v>115404</v>
      </c>
      <c r="E156" s="57">
        <v>117767</v>
      </c>
      <c r="F156" s="293">
        <v>125212</v>
      </c>
      <c r="G156" s="293">
        <v>133346</v>
      </c>
      <c r="H156" s="293">
        <v>141348</v>
      </c>
      <c r="I156" s="33"/>
    </row>
    <row r="157" spans="1:18" s="32" customFormat="1">
      <c r="A157" s="225" t="s">
        <v>208</v>
      </c>
      <c r="B157" s="215"/>
      <c r="C157" s="56"/>
      <c r="D157" s="56"/>
      <c r="E157" s="56"/>
      <c r="F157" s="57"/>
      <c r="G157" s="56"/>
      <c r="H157" s="56"/>
      <c r="I157" s="33"/>
    </row>
    <row r="158" spans="1:18" s="32" customFormat="1">
      <c r="A158" s="38" t="s">
        <v>105</v>
      </c>
      <c r="B158" s="219" t="s">
        <v>9</v>
      </c>
      <c r="C158" s="285">
        <v>21752</v>
      </c>
      <c r="D158" s="285">
        <v>13257</v>
      </c>
      <c r="E158" s="285">
        <v>12200</v>
      </c>
      <c r="F158" s="286">
        <v>12100</v>
      </c>
      <c r="G158" s="285">
        <v>12100</v>
      </c>
      <c r="H158" s="285">
        <v>12100</v>
      </c>
      <c r="I158" s="33"/>
    </row>
    <row r="159" spans="1:18" s="32" customFormat="1">
      <c r="A159" s="38" t="s">
        <v>106</v>
      </c>
      <c r="B159" s="39" t="s">
        <v>4</v>
      </c>
      <c r="C159" s="283">
        <v>551.72</v>
      </c>
      <c r="D159" s="283">
        <v>725.43</v>
      </c>
      <c r="E159" s="283">
        <v>804.42</v>
      </c>
      <c r="F159" s="284">
        <v>862.34</v>
      </c>
      <c r="G159" s="283">
        <v>918.36</v>
      </c>
      <c r="H159" s="283">
        <v>973.47</v>
      </c>
      <c r="I159" s="33"/>
    </row>
    <row r="160" spans="1:18" s="32" customFormat="1">
      <c r="A160" s="219"/>
      <c r="B160" s="219"/>
      <c r="C160" s="7"/>
      <c r="D160" s="7"/>
      <c r="E160" s="7"/>
      <c r="F160" s="7"/>
      <c r="G160" s="7"/>
      <c r="H160" s="7"/>
      <c r="I160" s="33"/>
    </row>
    <row r="161" spans="1:17" s="32" customFormat="1" ht="15" customHeight="1">
      <c r="A161" s="226" t="s">
        <v>466</v>
      </c>
      <c r="B161" s="217" t="s">
        <v>121</v>
      </c>
      <c r="C161" s="289">
        <v>23594</v>
      </c>
      <c r="D161" s="289">
        <v>25602</v>
      </c>
      <c r="E161" s="289">
        <v>27890</v>
      </c>
      <c r="F161" s="289">
        <v>29704</v>
      </c>
      <c r="G161" s="289">
        <v>31630</v>
      </c>
      <c r="H161" s="289">
        <v>33524</v>
      </c>
      <c r="I161" s="33"/>
      <c r="P161" s="3"/>
      <c r="Q161" s="11"/>
    </row>
    <row r="162" spans="1:17" s="32" customFormat="1">
      <c r="A162" s="227" t="s">
        <v>467</v>
      </c>
      <c r="B162" s="215"/>
      <c r="C162" s="56">
        <v>23559</v>
      </c>
      <c r="D162" s="56">
        <v>25657</v>
      </c>
      <c r="E162" s="56">
        <v>27847</v>
      </c>
      <c r="F162" s="57">
        <v>29667</v>
      </c>
      <c r="G162" s="56">
        <v>31594</v>
      </c>
      <c r="H162" s="56">
        <v>33489</v>
      </c>
      <c r="I162" s="33"/>
    </row>
    <row r="163" spans="1:17" s="32" customFormat="1">
      <c r="A163" s="38" t="s">
        <v>31</v>
      </c>
      <c r="B163" s="219" t="s">
        <v>9</v>
      </c>
      <c r="C163" s="56">
        <v>15845</v>
      </c>
      <c r="D163" s="56">
        <v>16170</v>
      </c>
      <c r="E163" s="56">
        <v>16100</v>
      </c>
      <c r="F163" s="57">
        <v>16000</v>
      </c>
      <c r="G163" s="56">
        <v>16000</v>
      </c>
      <c r="H163" s="56">
        <v>16000</v>
      </c>
      <c r="I163" s="33"/>
    </row>
    <row r="164" spans="1:17" s="32" customFormat="1">
      <c r="A164" s="221" t="s">
        <v>107</v>
      </c>
      <c r="B164" s="39" t="s">
        <v>4</v>
      </c>
      <c r="C164" s="283">
        <v>1486.89</v>
      </c>
      <c r="D164" s="283">
        <v>1586.68</v>
      </c>
      <c r="E164" s="283">
        <v>1729.61</v>
      </c>
      <c r="F164" s="284">
        <v>1854.16</v>
      </c>
      <c r="G164" s="283">
        <v>1974.61</v>
      </c>
      <c r="H164" s="283">
        <v>2093.09</v>
      </c>
      <c r="I164" s="33"/>
    </row>
    <row r="165" spans="1:17" s="32" customFormat="1" ht="12.75" hidden="1" customHeight="1">
      <c r="A165" s="38"/>
      <c r="B165" s="39"/>
      <c r="C165" s="294"/>
      <c r="D165" s="294"/>
      <c r="E165" s="294"/>
      <c r="F165" s="294"/>
      <c r="G165" s="295"/>
      <c r="H165" s="295"/>
      <c r="I165" s="33"/>
    </row>
    <row r="166" spans="1:17" s="32" customFormat="1">
      <c r="A166" s="38" t="s">
        <v>165</v>
      </c>
      <c r="B166" s="39" t="s">
        <v>121</v>
      </c>
      <c r="C166" s="56">
        <v>527</v>
      </c>
      <c r="D166" s="56">
        <v>472</v>
      </c>
      <c r="E166" s="56">
        <v>516</v>
      </c>
      <c r="F166" s="57">
        <v>553</v>
      </c>
      <c r="G166" s="56">
        <v>589</v>
      </c>
      <c r="H166" s="56">
        <v>624</v>
      </c>
      <c r="I166" s="33"/>
    </row>
    <row r="167" spans="1:17" s="32" customFormat="1">
      <c r="A167" s="38" t="s">
        <v>166</v>
      </c>
      <c r="B167" s="39" t="s">
        <v>121</v>
      </c>
      <c r="C167" s="56">
        <v>35</v>
      </c>
      <c r="D167" s="56">
        <v>-55</v>
      </c>
      <c r="E167" s="56">
        <v>43</v>
      </c>
      <c r="F167" s="57">
        <v>37</v>
      </c>
      <c r="G167" s="56">
        <v>36</v>
      </c>
      <c r="H167" s="56">
        <v>35</v>
      </c>
      <c r="I167" s="33"/>
    </row>
    <row r="168" spans="1:17" s="32" customFormat="1" ht="4.5" customHeight="1">
      <c r="A168" s="40"/>
      <c r="B168" s="215"/>
      <c r="C168" s="7"/>
      <c r="D168" s="7"/>
      <c r="E168" s="7"/>
      <c r="F168" s="7"/>
      <c r="G168" s="7"/>
      <c r="H168" s="7"/>
      <c r="I168" s="33"/>
    </row>
    <row r="169" spans="1:17" s="32" customFormat="1" ht="14.25" customHeight="1">
      <c r="A169" s="216" t="s">
        <v>468</v>
      </c>
      <c r="B169" s="217" t="s">
        <v>121</v>
      </c>
      <c r="C169" s="222">
        <v>0</v>
      </c>
      <c r="D169" s="222">
        <v>0</v>
      </c>
      <c r="E169" s="222">
        <v>0</v>
      </c>
      <c r="F169" s="7">
        <v>0</v>
      </c>
      <c r="G169" s="222">
        <v>0</v>
      </c>
      <c r="H169" s="222">
        <v>0</v>
      </c>
      <c r="I169" s="33"/>
    </row>
    <row r="170" spans="1:17" s="31" customFormat="1" ht="14.25">
      <c r="A170" s="216" t="s">
        <v>469</v>
      </c>
      <c r="B170" s="215"/>
      <c r="C170" s="41"/>
      <c r="D170" s="41"/>
      <c r="E170" s="41"/>
      <c r="F170" s="58"/>
      <c r="G170" s="41"/>
      <c r="H170" s="41"/>
      <c r="I170" s="34"/>
    </row>
    <row r="171" spans="1:17" s="31" customFormat="1" ht="23.25" customHeight="1">
      <c r="A171" s="216"/>
      <c r="B171" s="215"/>
      <c r="C171" s="41"/>
      <c r="D171" s="41"/>
      <c r="E171" s="41"/>
      <c r="F171" s="58"/>
      <c r="G171" s="41"/>
      <c r="H171" s="41"/>
      <c r="I171" s="34"/>
    </row>
    <row r="172" spans="1:17" s="31" customFormat="1" ht="11.25" customHeight="1">
      <c r="A172" s="38"/>
      <c r="B172" s="39"/>
      <c r="C172" s="41"/>
      <c r="D172" s="41"/>
      <c r="E172" s="41"/>
      <c r="F172" s="41"/>
      <c r="G172" s="41"/>
      <c r="H172" s="8" t="s">
        <v>5</v>
      </c>
      <c r="I172" s="34"/>
    </row>
    <row r="173" spans="1:17" s="31" customFormat="1" ht="17.25" customHeight="1">
      <c r="A173" s="40"/>
      <c r="B173" s="39"/>
      <c r="C173" s="42"/>
      <c r="D173" s="42"/>
      <c r="E173" s="42"/>
      <c r="F173" s="42"/>
      <c r="G173" s="42"/>
      <c r="H173" s="8" t="s">
        <v>32</v>
      </c>
      <c r="I173" s="34"/>
    </row>
    <row r="174" spans="1:17" s="31" customFormat="1" ht="12" customHeight="1">
      <c r="A174" s="44"/>
      <c r="B174" s="568" t="s">
        <v>1</v>
      </c>
      <c r="C174" s="566" t="s">
        <v>412</v>
      </c>
      <c r="D174" s="566" t="s">
        <v>500</v>
      </c>
      <c r="E174" s="566" t="s">
        <v>501</v>
      </c>
      <c r="F174" s="564" t="s">
        <v>502</v>
      </c>
      <c r="G174" s="566" t="s">
        <v>418</v>
      </c>
      <c r="H174" s="566" t="s">
        <v>503</v>
      </c>
    </row>
    <row r="175" spans="1:17" s="31" customFormat="1" ht="17.25" customHeight="1">
      <c r="A175" s="45"/>
      <c r="B175" s="569" t="s">
        <v>2</v>
      </c>
      <c r="C175" s="570"/>
      <c r="D175" s="570"/>
      <c r="E175" s="570"/>
      <c r="F175" s="565"/>
      <c r="G175" s="567"/>
      <c r="H175" s="567"/>
    </row>
    <row r="176" spans="1:17" s="31" customFormat="1" ht="13.5" customHeight="1">
      <c r="A176" s="228"/>
      <c r="B176" s="27"/>
      <c r="C176" s="27"/>
      <c r="D176" s="27"/>
      <c r="E176" s="27"/>
      <c r="F176" s="28"/>
      <c r="G176" s="5"/>
      <c r="H176" s="5"/>
    </row>
    <row r="177" spans="1:17" s="32" customFormat="1" ht="15.75">
      <c r="A177" s="213" t="s">
        <v>470</v>
      </c>
      <c r="B177" s="216" t="s">
        <v>121</v>
      </c>
      <c r="C177" s="296">
        <v>468092</v>
      </c>
      <c r="D177" s="296">
        <v>541553</v>
      </c>
      <c r="E177" s="296">
        <v>590676</v>
      </c>
      <c r="F177" s="296">
        <v>612058</v>
      </c>
      <c r="G177" s="296">
        <v>646933</v>
      </c>
      <c r="H177" s="296">
        <v>685737</v>
      </c>
      <c r="I177" s="33"/>
      <c r="P177" s="3"/>
      <c r="Q177" s="11"/>
    </row>
    <row r="178" spans="1:17" s="32" customFormat="1" ht="8.25" customHeight="1">
      <c r="A178" s="40"/>
      <c r="B178" s="215"/>
      <c r="C178" s="294"/>
      <c r="D178" s="294"/>
      <c r="E178" s="294"/>
      <c r="F178" s="294"/>
      <c r="G178" s="295"/>
      <c r="H178" s="295"/>
      <c r="I178" s="33"/>
    </row>
    <row r="179" spans="1:17" s="32" customFormat="1" ht="24.75" customHeight="1">
      <c r="A179" s="229" t="s">
        <v>471</v>
      </c>
      <c r="B179" s="40" t="s">
        <v>121</v>
      </c>
      <c r="C179" s="297">
        <v>468092</v>
      </c>
      <c r="D179" s="297">
        <v>541553</v>
      </c>
      <c r="E179" s="297">
        <v>590676</v>
      </c>
      <c r="F179" s="297">
        <v>612058</v>
      </c>
      <c r="G179" s="297">
        <v>646933</v>
      </c>
      <c r="H179" s="297">
        <v>685737</v>
      </c>
      <c r="I179" s="33"/>
    </row>
    <row r="180" spans="1:17" s="32" customFormat="1" ht="15" customHeight="1">
      <c r="A180" s="230" t="s">
        <v>192</v>
      </c>
      <c r="B180" s="38" t="s">
        <v>121</v>
      </c>
      <c r="C180" s="298">
        <v>467623</v>
      </c>
      <c r="D180" s="298">
        <v>541064</v>
      </c>
      <c r="E180" s="298">
        <v>590478</v>
      </c>
      <c r="F180" s="297">
        <v>611886</v>
      </c>
      <c r="G180" s="298">
        <v>646767</v>
      </c>
      <c r="H180" s="298">
        <v>685574</v>
      </c>
      <c r="I180" s="33"/>
    </row>
    <row r="181" spans="1:17" s="32" customFormat="1" ht="15" customHeight="1">
      <c r="A181" s="230" t="s">
        <v>195</v>
      </c>
      <c r="B181" s="219" t="s">
        <v>9</v>
      </c>
      <c r="C181" s="298">
        <v>81819</v>
      </c>
      <c r="D181" s="298">
        <v>84069</v>
      </c>
      <c r="E181" s="298">
        <v>82700</v>
      </c>
      <c r="F181" s="297">
        <v>80300</v>
      </c>
      <c r="G181" s="298">
        <v>79700</v>
      </c>
      <c r="H181" s="298">
        <v>79700</v>
      </c>
      <c r="I181" s="33"/>
    </row>
    <row r="182" spans="1:17" s="32" customFormat="1" ht="15" customHeight="1">
      <c r="A182" s="230" t="s">
        <v>196</v>
      </c>
      <c r="B182" s="39" t="s">
        <v>4</v>
      </c>
      <c r="C182" s="299">
        <v>476.28</v>
      </c>
      <c r="D182" s="299">
        <v>536.33000000000004</v>
      </c>
      <c r="E182" s="299">
        <v>595</v>
      </c>
      <c r="F182" s="300">
        <v>635</v>
      </c>
      <c r="G182" s="299">
        <v>676.25</v>
      </c>
      <c r="H182" s="299">
        <v>716.83</v>
      </c>
      <c r="I182" s="33"/>
    </row>
    <row r="183" spans="1:17" s="32" customFormat="1" ht="15" customHeight="1">
      <c r="A183" s="230" t="s">
        <v>193</v>
      </c>
      <c r="B183" s="38" t="s">
        <v>121</v>
      </c>
      <c r="C183" s="298">
        <v>1699</v>
      </c>
      <c r="D183" s="298">
        <v>2188</v>
      </c>
      <c r="E183" s="298">
        <v>2386</v>
      </c>
      <c r="F183" s="297">
        <v>2558</v>
      </c>
      <c r="G183" s="298">
        <v>2724</v>
      </c>
      <c r="H183" s="298">
        <v>2887</v>
      </c>
      <c r="I183" s="33"/>
    </row>
    <row r="184" spans="1:17" s="32" customFormat="1" ht="13.5" customHeight="1">
      <c r="A184" s="230" t="s">
        <v>194</v>
      </c>
      <c r="B184" s="38" t="s">
        <v>121</v>
      </c>
      <c r="C184" s="298">
        <v>469</v>
      </c>
      <c r="D184" s="298">
        <v>489</v>
      </c>
      <c r="E184" s="298">
        <v>198</v>
      </c>
      <c r="F184" s="297">
        <v>172</v>
      </c>
      <c r="G184" s="298">
        <v>166</v>
      </c>
      <c r="H184" s="298">
        <v>163</v>
      </c>
      <c r="I184" s="33"/>
    </row>
    <row r="185" spans="1:17" s="32" customFormat="1" ht="15" customHeight="1">
      <c r="A185" s="40" t="s">
        <v>96</v>
      </c>
      <c r="B185" s="40" t="s">
        <v>121</v>
      </c>
      <c r="C185" s="7">
        <v>0</v>
      </c>
      <c r="D185" s="7">
        <v>0</v>
      </c>
      <c r="E185" s="7">
        <v>0</v>
      </c>
      <c r="F185" s="7">
        <v>0</v>
      </c>
      <c r="G185" s="7">
        <v>0</v>
      </c>
      <c r="H185" s="7">
        <v>0</v>
      </c>
      <c r="I185" s="33"/>
    </row>
    <row r="186" spans="1:17" s="9" customFormat="1" ht="14.25">
      <c r="A186" s="46"/>
      <c r="B186" s="47"/>
      <c r="C186" s="15"/>
      <c r="D186" s="15"/>
      <c r="E186" s="15"/>
      <c r="F186" s="15"/>
      <c r="G186" s="15"/>
      <c r="H186" s="15"/>
      <c r="I186" s="25"/>
    </row>
    <row r="187" spans="1:17" s="17" customFormat="1" ht="13.5" customHeight="1">
      <c r="A187" s="91" t="s">
        <v>283</v>
      </c>
      <c r="B187" s="47" t="s">
        <v>121</v>
      </c>
      <c r="C187" s="43">
        <v>41846</v>
      </c>
      <c r="D187" s="43">
        <v>44229</v>
      </c>
      <c r="E187" s="43">
        <v>50717</v>
      </c>
      <c r="F187" s="43">
        <v>56000</v>
      </c>
      <c r="G187" s="43">
        <v>61165</v>
      </c>
      <c r="H187" s="43">
        <v>66517</v>
      </c>
      <c r="I187" s="16"/>
      <c r="J187" s="43"/>
      <c r="K187" s="43"/>
      <c r="L187" s="43"/>
      <c r="M187" s="43"/>
      <c r="P187" s="3"/>
      <c r="Q187" s="11"/>
    </row>
    <row r="188" spans="1:17" s="19" customFormat="1" ht="13.9" customHeight="1">
      <c r="A188" s="92" t="s">
        <v>284</v>
      </c>
      <c r="B188" s="47"/>
      <c r="C188" s="301"/>
      <c r="D188" s="301"/>
      <c r="E188" s="301"/>
      <c r="F188" s="301"/>
      <c r="G188" s="301"/>
      <c r="H188" s="301"/>
      <c r="I188" s="18"/>
    </row>
    <row r="189" spans="1:17" s="1" customFormat="1" ht="10.5" customHeight="1">
      <c r="A189" s="17"/>
      <c r="B189" s="47"/>
      <c r="C189" s="302"/>
      <c r="D189" s="302"/>
      <c r="E189" s="303"/>
      <c r="F189" s="304"/>
      <c r="G189" s="303"/>
      <c r="H189" s="303"/>
      <c r="I189" s="20"/>
    </row>
    <row r="190" spans="1:17" s="17" customFormat="1" ht="17.25" customHeight="1">
      <c r="A190" s="17" t="s">
        <v>285</v>
      </c>
      <c r="B190" s="47" t="s">
        <v>121</v>
      </c>
      <c r="C190" s="43">
        <v>15058</v>
      </c>
      <c r="D190" s="43">
        <v>15683</v>
      </c>
      <c r="E190" s="43">
        <v>18954</v>
      </c>
      <c r="F190" s="43">
        <v>21311</v>
      </c>
      <c r="G190" s="43">
        <v>23816</v>
      </c>
      <c r="H190" s="43">
        <v>26496</v>
      </c>
      <c r="I190" s="21"/>
      <c r="J190" s="43"/>
      <c r="K190" s="43"/>
      <c r="L190" s="43"/>
      <c r="M190" s="43"/>
    </row>
    <row r="191" spans="1:17" s="17" customFormat="1" ht="17.25" customHeight="1">
      <c r="A191" s="17" t="s">
        <v>286</v>
      </c>
      <c r="B191" s="47"/>
      <c r="C191" s="43"/>
      <c r="D191" s="43"/>
      <c r="E191" s="43"/>
      <c r="F191" s="43"/>
      <c r="G191" s="43"/>
      <c r="H191" s="43"/>
      <c r="I191" s="21"/>
    </row>
    <row r="192" spans="1:17" s="1" customFormat="1" ht="13.9" customHeight="1">
      <c r="A192" s="1" t="s">
        <v>146</v>
      </c>
      <c r="B192" s="47"/>
      <c r="C192" s="48"/>
      <c r="D192" s="48"/>
      <c r="E192" s="48"/>
      <c r="F192" s="43"/>
      <c r="G192" s="48"/>
      <c r="H192" s="48"/>
      <c r="I192" s="20"/>
    </row>
    <row r="193" spans="1:9" s="1" customFormat="1" ht="8.25" customHeight="1">
      <c r="A193" s="17"/>
      <c r="B193" s="47"/>
      <c r="C193" s="48"/>
      <c r="D193" s="48"/>
      <c r="E193" s="48"/>
      <c r="F193" s="43"/>
      <c r="G193" s="48"/>
      <c r="H193" s="48"/>
      <c r="I193" s="20"/>
    </row>
    <row r="194" spans="1:9" s="17" customFormat="1" ht="11.25" customHeight="1">
      <c r="A194" s="17" t="s">
        <v>152</v>
      </c>
      <c r="B194" s="47" t="s">
        <v>121</v>
      </c>
      <c r="C194" s="43">
        <v>68</v>
      </c>
      <c r="D194" s="43">
        <v>90</v>
      </c>
      <c r="E194" s="43">
        <v>102</v>
      </c>
      <c r="F194" s="43">
        <v>109</v>
      </c>
      <c r="G194" s="43">
        <v>116</v>
      </c>
      <c r="H194" s="43">
        <v>123</v>
      </c>
      <c r="I194" s="21"/>
    </row>
    <row r="195" spans="1:9" s="1" customFormat="1" ht="13.9" customHeight="1">
      <c r="A195" s="1" t="s">
        <v>33</v>
      </c>
      <c r="B195" s="35" t="s">
        <v>9</v>
      </c>
      <c r="C195" s="305">
        <v>38</v>
      </c>
      <c r="D195" s="305">
        <v>32</v>
      </c>
      <c r="E195" s="305">
        <v>40</v>
      </c>
      <c r="F195" s="231">
        <v>40</v>
      </c>
      <c r="G195" s="305">
        <v>40</v>
      </c>
      <c r="H195" s="305">
        <v>40</v>
      </c>
      <c r="I195" s="20"/>
    </row>
    <row r="196" spans="1:9" s="1" customFormat="1" ht="13.9" customHeight="1">
      <c r="A196" s="1" t="s">
        <v>34</v>
      </c>
      <c r="B196" s="35" t="s">
        <v>35</v>
      </c>
      <c r="C196" s="232">
        <v>33.9</v>
      </c>
      <c r="D196" s="232">
        <v>35</v>
      </c>
      <c r="E196" s="232">
        <v>33.700000000000003</v>
      </c>
      <c r="F196" s="232">
        <v>33.700000000000003</v>
      </c>
      <c r="G196" s="232">
        <v>33.700000000000003</v>
      </c>
      <c r="H196" s="232">
        <v>33.700000000000003</v>
      </c>
      <c r="I196" s="20"/>
    </row>
    <row r="197" spans="1:9" s="1" customFormat="1" ht="13.9" customHeight="1">
      <c r="A197" s="1" t="s">
        <v>101</v>
      </c>
      <c r="B197" s="35" t="s">
        <v>4</v>
      </c>
      <c r="C197" s="94">
        <v>52.74</v>
      </c>
      <c r="D197" s="94">
        <v>79.98</v>
      </c>
      <c r="E197" s="94">
        <v>75.40776000000001</v>
      </c>
      <c r="F197" s="306">
        <v>80.837992322274872</v>
      </c>
      <c r="G197" s="94">
        <v>86.089533270142169</v>
      </c>
      <c r="H197" s="94">
        <v>91.255037630331756</v>
      </c>
      <c r="I197" s="20"/>
    </row>
    <row r="198" spans="1:9" s="1" customFormat="1" ht="13.9" customHeight="1">
      <c r="A198" s="1" t="s">
        <v>100</v>
      </c>
      <c r="B198" s="35" t="s">
        <v>7</v>
      </c>
      <c r="C198" s="305">
        <v>58</v>
      </c>
      <c r="D198" s="305">
        <v>81</v>
      </c>
      <c r="E198" s="305">
        <v>69.822000000000003</v>
      </c>
      <c r="F198" s="231">
        <v>69.821999999999989</v>
      </c>
      <c r="G198" s="305">
        <v>69.821999999999989</v>
      </c>
      <c r="H198" s="305">
        <v>69.822000000000003</v>
      </c>
      <c r="I198" s="20"/>
    </row>
    <row r="199" spans="1:9" s="1" customFormat="1" ht="11.25" customHeight="1">
      <c r="A199" s="1" t="s">
        <v>36</v>
      </c>
      <c r="B199" s="35"/>
      <c r="C199" s="48"/>
      <c r="D199" s="48"/>
      <c r="E199" s="48"/>
      <c r="F199" s="93"/>
      <c r="G199" s="48"/>
      <c r="H199" s="48"/>
      <c r="I199" s="20"/>
    </row>
    <row r="200" spans="1:9" s="1" customFormat="1" ht="11.25" customHeight="1">
      <c r="B200" s="35"/>
      <c r="C200" s="48"/>
      <c r="D200" s="48"/>
      <c r="E200" s="48"/>
      <c r="F200" s="93"/>
      <c r="G200" s="48"/>
      <c r="H200" s="48"/>
      <c r="I200" s="20"/>
    </row>
    <row r="201" spans="1:9" s="17" customFormat="1" ht="14.25" customHeight="1">
      <c r="A201" s="17" t="s">
        <v>153</v>
      </c>
      <c r="B201" s="95" t="s">
        <v>121</v>
      </c>
      <c r="C201" s="43">
        <v>14975</v>
      </c>
      <c r="D201" s="43">
        <v>15716</v>
      </c>
      <c r="E201" s="43">
        <v>18824</v>
      </c>
      <c r="F201" s="43">
        <v>21179</v>
      </c>
      <c r="G201" s="43">
        <v>23678</v>
      </c>
      <c r="H201" s="43">
        <v>26351</v>
      </c>
      <c r="I201" s="21"/>
    </row>
    <row r="202" spans="1:9" s="1" customFormat="1" ht="13.9" customHeight="1">
      <c r="A202" s="1" t="s">
        <v>37</v>
      </c>
      <c r="B202" s="35" t="s">
        <v>9</v>
      </c>
      <c r="C202" s="305">
        <v>8591</v>
      </c>
      <c r="D202" s="305">
        <v>10066</v>
      </c>
      <c r="E202" s="305">
        <v>11100</v>
      </c>
      <c r="F202" s="231">
        <v>11650</v>
      </c>
      <c r="G202" s="305">
        <v>12230</v>
      </c>
      <c r="H202" s="305">
        <v>12840</v>
      </c>
      <c r="I202" s="20"/>
    </row>
    <row r="203" spans="1:9" s="1" customFormat="1" ht="13.9" customHeight="1">
      <c r="A203" s="1" t="s">
        <v>38</v>
      </c>
      <c r="B203" s="35" t="s">
        <v>35</v>
      </c>
      <c r="C203" s="232">
        <v>28</v>
      </c>
      <c r="D203" s="232">
        <v>22.9086</v>
      </c>
      <c r="E203" s="232">
        <v>23</v>
      </c>
      <c r="F203" s="96">
        <v>23</v>
      </c>
      <c r="G203" s="232">
        <v>23</v>
      </c>
      <c r="H203" s="232">
        <v>23</v>
      </c>
      <c r="I203" s="20"/>
    </row>
    <row r="204" spans="1:9" s="1" customFormat="1" ht="13.7" customHeight="1">
      <c r="A204" s="1" t="s">
        <v>102</v>
      </c>
      <c r="B204" s="35" t="s">
        <v>4</v>
      </c>
      <c r="C204" s="94">
        <v>62.38</v>
      </c>
      <c r="D204" s="94">
        <v>68.155299999999997</v>
      </c>
      <c r="E204" s="94">
        <v>73.732032000000004</v>
      </c>
      <c r="F204" s="96">
        <v>79.041592492890985</v>
      </c>
      <c r="G204" s="94">
        <v>84.176432530805684</v>
      </c>
      <c r="H204" s="94">
        <v>89.227147905213272</v>
      </c>
      <c r="I204" s="20"/>
    </row>
    <row r="205" spans="1:9" s="1" customFormat="1" ht="13.5" customHeight="1">
      <c r="A205" s="1" t="s">
        <v>100</v>
      </c>
      <c r="B205" s="35" t="s">
        <v>7</v>
      </c>
      <c r="C205" s="305">
        <v>69</v>
      </c>
      <c r="D205" s="305">
        <v>68.823968892079449</v>
      </c>
      <c r="E205" s="305">
        <v>68.270400000000009</v>
      </c>
      <c r="F205" s="305">
        <v>68.270399999999995</v>
      </c>
      <c r="G205" s="305">
        <v>68.270400000000009</v>
      </c>
      <c r="H205" s="305">
        <v>68.270400000000009</v>
      </c>
      <c r="I205" s="20"/>
    </row>
    <row r="206" spans="1:9" s="1" customFormat="1" ht="13.5" customHeight="1">
      <c r="A206" s="1" t="s">
        <v>36</v>
      </c>
      <c r="B206" s="35"/>
      <c r="C206" s="48"/>
      <c r="D206" s="48"/>
      <c r="E206" s="48"/>
      <c r="F206" s="93"/>
      <c r="G206" s="48"/>
      <c r="H206" s="48"/>
      <c r="I206" s="20"/>
    </row>
    <row r="207" spans="1:9" s="1" customFormat="1" ht="13.5" customHeight="1">
      <c r="A207" s="1" t="s">
        <v>154</v>
      </c>
      <c r="B207" s="35" t="s">
        <v>121</v>
      </c>
      <c r="C207" s="26">
        <v>415</v>
      </c>
      <c r="D207" s="26">
        <v>292.38799999999998</v>
      </c>
      <c r="E207" s="26">
        <v>320</v>
      </c>
      <c r="F207" s="43">
        <v>343</v>
      </c>
      <c r="G207" s="26">
        <v>365</v>
      </c>
      <c r="H207" s="26">
        <v>387</v>
      </c>
      <c r="I207" s="20"/>
    </row>
    <row r="208" spans="1:9" s="1" customFormat="1" ht="13.5" customHeight="1">
      <c r="A208" s="1" t="s">
        <v>155</v>
      </c>
      <c r="B208" s="35"/>
      <c r="C208" s="26"/>
      <c r="D208" s="26"/>
      <c r="E208" s="26"/>
      <c r="F208" s="26"/>
      <c r="G208" s="26"/>
      <c r="H208" s="26"/>
      <c r="I208" s="26"/>
    </row>
    <row r="209" spans="1:10" s="1" customFormat="1" ht="13.5" customHeight="1">
      <c r="A209" s="1" t="s">
        <v>147</v>
      </c>
      <c r="B209" s="35"/>
      <c r="C209" s="26"/>
      <c r="D209" s="26"/>
      <c r="E209" s="26"/>
      <c r="F209" s="43"/>
      <c r="G209" s="26"/>
      <c r="H209" s="26"/>
      <c r="I209" s="20"/>
    </row>
    <row r="210" spans="1:10" s="1" customFormat="1" ht="13.5" customHeight="1">
      <c r="A210" s="1" t="s">
        <v>154</v>
      </c>
      <c r="B210" s="35" t="s">
        <v>121</v>
      </c>
      <c r="C210" s="26">
        <v>15</v>
      </c>
      <c r="D210" s="26">
        <v>-122.699</v>
      </c>
      <c r="E210" s="26">
        <v>28</v>
      </c>
      <c r="F210" s="43">
        <v>23</v>
      </c>
      <c r="G210" s="26">
        <v>22</v>
      </c>
      <c r="H210" s="26">
        <v>22</v>
      </c>
      <c r="I210" s="20"/>
    </row>
    <row r="211" spans="1:10" s="1" customFormat="1" ht="13.5" customHeight="1">
      <c r="A211" s="1" t="s">
        <v>155</v>
      </c>
      <c r="B211" s="35"/>
      <c r="C211" s="48"/>
      <c r="D211" s="48"/>
      <c r="E211" s="48"/>
      <c r="F211" s="93"/>
      <c r="G211" s="48"/>
      <c r="H211" s="48"/>
      <c r="I211" s="20"/>
    </row>
    <row r="212" spans="1:10" s="1" customFormat="1" ht="13.5" customHeight="1">
      <c r="A212" s="1" t="s">
        <v>148</v>
      </c>
      <c r="B212" s="35"/>
      <c r="C212" s="48"/>
      <c r="D212" s="48"/>
      <c r="E212" s="48"/>
      <c r="F212" s="93"/>
      <c r="G212" s="48"/>
      <c r="H212" s="48"/>
      <c r="I212" s="20"/>
    </row>
    <row r="213" spans="1:10" s="1" customFormat="1" ht="7.5" customHeight="1">
      <c r="B213" s="35"/>
      <c r="C213" s="48"/>
      <c r="D213" s="48"/>
      <c r="E213" s="48"/>
      <c r="F213" s="93"/>
      <c r="G213" s="48"/>
      <c r="H213" s="48"/>
      <c r="I213" s="20"/>
    </row>
    <row r="214" spans="1:10" s="1" customFormat="1" ht="12.75" customHeight="1">
      <c r="A214" s="17" t="s">
        <v>375</v>
      </c>
      <c r="B214" s="95" t="s">
        <v>121</v>
      </c>
      <c r="C214" s="43">
        <v>695</v>
      </c>
      <c r="D214" s="43">
        <v>636</v>
      </c>
      <c r="E214" s="43">
        <v>743</v>
      </c>
      <c r="F214" s="43">
        <v>822</v>
      </c>
      <c r="G214" s="43">
        <v>876</v>
      </c>
      <c r="H214" s="43">
        <v>931</v>
      </c>
      <c r="I214" s="20"/>
      <c r="J214" s="26"/>
    </row>
    <row r="215" spans="1:10" s="1" customFormat="1" ht="12.75" customHeight="1">
      <c r="A215" s="97" t="s">
        <v>146</v>
      </c>
      <c r="B215" s="95"/>
      <c r="C215" s="43"/>
      <c r="D215" s="43"/>
      <c r="E215" s="43"/>
      <c r="F215" s="43"/>
      <c r="G215" s="43"/>
      <c r="H215" s="43"/>
      <c r="I215" s="20"/>
    </row>
    <row r="216" spans="1:10" s="1" customFormat="1">
      <c r="B216" s="35"/>
      <c r="C216" s="26"/>
      <c r="D216" s="26"/>
      <c r="E216" s="26"/>
      <c r="F216" s="43"/>
      <c r="G216" s="26"/>
      <c r="H216" s="26"/>
      <c r="I216" s="20"/>
    </row>
    <row r="217" spans="1:10" s="1" customFormat="1" ht="12.75" customHeight="1">
      <c r="A217" s="17" t="s">
        <v>376</v>
      </c>
      <c r="B217" s="95" t="s">
        <v>121</v>
      </c>
      <c r="C217" s="231">
        <v>295</v>
      </c>
      <c r="D217" s="231">
        <v>204</v>
      </c>
      <c r="E217" s="231">
        <v>256</v>
      </c>
      <c r="F217" s="231">
        <v>277</v>
      </c>
      <c r="G217" s="231">
        <v>296</v>
      </c>
      <c r="H217" s="231">
        <v>315</v>
      </c>
      <c r="I217" s="20"/>
    </row>
    <row r="218" spans="1:10" s="1" customFormat="1" ht="13.9" customHeight="1">
      <c r="A218" s="1" t="s">
        <v>378</v>
      </c>
      <c r="B218" s="35" t="s">
        <v>9</v>
      </c>
      <c r="C218" s="305">
        <v>111</v>
      </c>
      <c r="D218" s="305">
        <v>75</v>
      </c>
      <c r="E218" s="305">
        <v>80</v>
      </c>
      <c r="F218" s="231">
        <v>80</v>
      </c>
      <c r="G218" s="305">
        <v>80</v>
      </c>
      <c r="H218" s="305">
        <v>80</v>
      </c>
      <c r="I218" s="20"/>
    </row>
    <row r="219" spans="1:10" s="1" customFormat="1" ht="13.9" customHeight="1">
      <c r="A219" s="1" t="s">
        <v>39</v>
      </c>
      <c r="B219" s="35" t="s">
        <v>4</v>
      </c>
      <c r="C219" s="94">
        <v>2249.34</v>
      </c>
      <c r="D219" s="94">
        <v>2474.5036</v>
      </c>
      <c r="E219" s="94">
        <v>2644.0440000000003</v>
      </c>
      <c r="F219" s="306">
        <v>2857.9525000000003</v>
      </c>
      <c r="G219" s="94">
        <v>3053.3359999999998</v>
      </c>
      <c r="H219" s="94">
        <v>3243.877</v>
      </c>
      <c r="I219" s="20"/>
    </row>
    <row r="220" spans="1:10" s="1" customFormat="1" ht="13.9" customHeight="1">
      <c r="A220" s="1" t="s">
        <v>379</v>
      </c>
      <c r="B220" s="35" t="s">
        <v>9</v>
      </c>
      <c r="C220" s="305">
        <v>11</v>
      </c>
      <c r="D220" s="305">
        <v>6</v>
      </c>
      <c r="E220" s="305">
        <v>10</v>
      </c>
      <c r="F220" s="231">
        <v>10</v>
      </c>
      <c r="G220" s="305">
        <v>10</v>
      </c>
      <c r="H220" s="305">
        <v>10</v>
      </c>
      <c r="I220" s="20"/>
    </row>
    <row r="221" spans="1:10" s="1" customFormat="1" ht="13.9" customHeight="1">
      <c r="A221" s="1" t="s">
        <v>39</v>
      </c>
      <c r="B221" s="35" t="s">
        <v>4</v>
      </c>
      <c r="C221" s="94">
        <v>4150.45</v>
      </c>
      <c r="D221" s="94">
        <v>2990.2084</v>
      </c>
      <c r="E221" s="94">
        <v>4474.536000000001</v>
      </c>
      <c r="F221" s="306">
        <v>4836.5295000000006</v>
      </c>
      <c r="G221" s="94">
        <v>5167.1840000000002</v>
      </c>
      <c r="H221" s="94">
        <v>5489.6379999999999</v>
      </c>
      <c r="I221" s="20"/>
    </row>
    <row r="222" spans="1:10" s="1" customFormat="1" ht="9" customHeight="1">
      <c r="B222" s="35"/>
      <c r="C222" s="48"/>
      <c r="D222" s="48"/>
      <c r="E222" s="48"/>
      <c r="F222" s="93"/>
      <c r="G222" s="48"/>
      <c r="H222" s="48"/>
      <c r="I222" s="20"/>
    </row>
    <row r="223" spans="1:10" s="1" customFormat="1" ht="12" customHeight="1">
      <c r="A223" s="17" t="s">
        <v>377</v>
      </c>
      <c r="B223" s="95" t="s">
        <v>121</v>
      </c>
      <c r="C223" s="43">
        <v>388</v>
      </c>
      <c r="D223" s="43">
        <v>414</v>
      </c>
      <c r="E223" s="43">
        <v>498</v>
      </c>
      <c r="F223" s="43">
        <v>539</v>
      </c>
      <c r="G223" s="43">
        <v>575</v>
      </c>
      <c r="H223" s="43">
        <v>611</v>
      </c>
      <c r="I223" s="20"/>
    </row>
    <row r="224" spans="1:10" s="1" customFormat="1" ht="13.9" customHeight="1">
      <c r="A224" s="1" t="s">
        <v>378</v>
      </c>
      <c r="B224" s="35" t="s">
        <v>9</v>
      </c>
      <c r="C224" s="305">
        <v>57</v>
      </c>
      <c r="D224" s="305">
        <v>66</v>
      </c>
      <c r="E224" s="305">
        <v>60</v>
      </c>
      <c r="F224" s="231">
        <v>60</v>
      </c>
      <c r="G224" s="305">
        <v>60</v>
      </c>
      <c r="H224" s="305">
        <v>60</v>
      </c>
      <c r="I224" s="20"/>
    </row>
    <row r="225" spans="1:9" s="1" customFormat="1" ht="13.9" customHeight="1">
      <c r="A225" s="1" t="s">
        <v>39</v>
      </c>
      <c r="B225" s="35" t="s">
        <v>4</v>
      </c>
      <c r="C225" s="94">
        <v>5956.42</v>
      </c>
      <c r="D225" s="94">
        <v>5184.4084999999995</v>
      </c>
      <c r="E225" s="94">
        <v>6711.804000000001</v>
      </c>
      <c r="F225" s="306">
        <v>7254.7970000000014</v>
      </c>
      <c r="G225" s="94">
        <v>7750.7760000000007</v>
      </c>
      <c r="H225" s="94">
        <v>8234.4570000000003</v>
      </c>
      <c r="I225" s="20"/>
    </row>
    <row r="226" spans="1:9" s="1" customFormat="1" ht="13.9" customHeight="1">
      <c r="A226" s="1" t="s">
        <v>379</v>
      </c>
      <c r="B226" s="35" t="s">
        <v>9</v>
      </c>
      <c r="C226" s="305">
        <v>6</v>
      </c>
      <c r="D226" s="305">
        <v>6</v>
      </c>
      <c r="E226" s="305">
        <v>8</v>
      </c>
      <c r="F226" s="305">
        <v>8</v>
      </c>
      <c r="G226" s="305">
        <v>8</v>
      </c>
      <c r="H226" s="305">
        <v>8</v>
      </c>
      <c r="I226" s="20"/>
    </row>
    <row r="227" spans="1:9" s="1" customFormat="1" ht="13.9" customHeight="1">
      <c r="A227" s="1" t="s">
        <v>39</v>
      </c>
      <c r="B227" s="35" t="s">
        <v>4</v>
      </c>
      <c r="C227" s="94">
        <v>8051.8</v>
      </c>
      <c r="D227" s="94">
        <v>12041.956700000001</v>
      </c>
      <c r="E227" s="94">
        <v>11941.184999999999</v>
      </c>
      <c r="F227" s="306">
        <v>12907.24</v>
      </c>
      <c r="G227" s="94">
        <v>13789.645</v>
      </c>
      <c r="H227" s="94">
        <v>14650.18</v>
      </c>
      <c r="I227" s="20"/>
    </row>
    <row r="228" spans="1:9" s="1" customFormat="1" ht="13.9" customHeight="1">
      <c r="A228" s="1" t="s">
        <v>380</v>
      </c>
      <c r="B228" s="35" t="s">
        <v>121</v>
      </c>
      <c r="C228" s="305">
        <v>71</v>
      </c>
      <c r="D228" s="305">
        <v>89</v>
      </c>
      <c r="E228" s="305">
        <v>78</v>
      </c>
      <c r="F228" s="231">
        <v>84</v>
      </c>
      <c r="G228" s="305">
        <v>89</v>
      </c>
      <c r="H228" s="305">
        <v>94</v>
      </c>
      <c r="I228" s="20"/>
    </row>
    <row r="229" spans="1:9" s="1" customFormat="1" ht="13.9" customHeight="1">
      <c r="A229" s="1" t="s">
        <v>147</v>
      </c>
      <c r="B229" s="35"/>
      <c r="C229" s="94"/>
      <c r="D229" s="94"/>
      <c r="E229" s="94"/>
      <c r="F229" s="231"/>
      <c r="G229" s="94"/>
      <c r="H229" s="94"/>
      <c r="I229" s="20"/>
    </row>
    <row r="230" spans="1:9" s="1" customFormat="1" ht="13.9" customHeight="1">
      <c r="A230" s="1" t="s">
        <v>380</v>
      </c>
      <c r="B230" s="35" t="s">
        <v>121</v>
      </c>
      <c r="C230" s="305">
        <v>12</v>
      </c>
      <c r="D230" s="305">
        <v>18.05</v>
      </c>
      <c r="E230" s="305">
        <v>-11</v>
      </c>
      <c r="F230" s="231">
        <v>6</v>
      </c>
      <c r="G230" s="305">
        <v>5</v>
      </c>
      <c r="H230" s="305">
        <v>5</v>
      </c>
      <c r="I230" s="20"/>
    </row>
    <row r="231" spans="1:9" s="1" customFormat="1" ht="13.9" customHeight="1">
      <c r="A231" s="1" t="s">
        <v>148</v>
      </c>
      <c r="B231" s="35"/>
      <c r="C231" s="94"/>
      <c r="D231" s="94"/>
      <c r="E231" s="94"/>
      <c r="F231" s="232"/>
      <c r="G231" s="94"/>
      <c r="H231" s="94"/>
      <c r="I231" s="20"/>
    </row>
    <row r="232" spans="1:9" s="1" customFormat="1" ht="10.5" customHeight="1">
      <c r="B232" s="35"/>
      <c r="C232" s="48"/>
      <c r="D232" s="48"/>
      <c r="E232" s="48"/>
      <c r="F232" s="93"/>
      <c r="G232" s="49"/>
      <c r="H232" s="49"/>
      <c r="I232" s="20"/>
    </row>
    <row r="233" spans="1:9" s="1" customFormat="1" ht="13.9" customHeight="1">
      <c r="A233" s="17" t="s">
        <v>381</v>
      </c>
      <c r="B233" s="95" t="s">
        <v>121</v>
      </c>
      <c r="C233" s="233">
        <v>23231</v>
      </c>
      <c r="D233" s="233">
        <v>25380</v>
      </c>
      <c r="E233" s="233">
        <v>27905</v>
      </c>
      <c r="F233" s="233">
        <v>30335</v>
      </c>
      <c r="G233" s="233">
        <v>32712</v>
      </c>
      <c r="H233" s="233">
        <v>35106</v>
      </c>
      <c r="I233" s="20"/>
    </row>
    <row r="234" spans="1:9" s="17" customFormat="1" ht="14.25" customHeight="1">
      <c r="A234" s="1" t="s">
        <v>40</v>
      </c>
      <c r="B234" s="35" t="s">
        <v>9</v>
      </c>
      <c r="C234" s="305">
        <v>6019</v>
      </c>
      <c r="D234" s="305">
        <v>5972</v>
      </c>
      <c r="E234" s="305">
        <v>5950</v>
      </c>
      <c r="F234" s="231">
        <v>5925</v>
      </c>
      <c r="G234" s="305">
        <v>5900</v>
      </c>
      <c r="H234" s="305">
        <v>5870</v>
      </c>
      <c r="I234" s="21"/>
    </row>
    <row r="235" spans="1:9" s="1" customFormat="1" ht="13.9" customHeight="1">
      <c r="A235" s="1" t="s">
        <v>41</v>
      </c>
      <c r="B235" s="35" t="s">
        <v>2</v>
      </c>
      <c r="C235" s="307">
        <v>69483</v>
      </c>
      <c r="D235" s="307">
        <v>68938</v>
      </c>
      <c r="E235" s="307">
        <v>68425</v>
      </c>
      <c r="F235" s="308">
        <v>68138</v>
      </c>
      <c r="G235" s="307">
        <v>67850</v>
      </c>
      <c r="H235" s="307">
        <v>67505</v>
      </c>
      <c r="I235" s="20"/>
    </row>
    <row r="236" spans="1:9" s="1" customFormat="1" ht="13.9" customHeight="1">
      <c r="A236" s="1" t="s">
        <v>42</v>
      </c>
      <c r="B236" s="35" t="s">
        <v>4</v>
      </c>
      <c r="C236" s="94">
        <v>334.33</v>
      </c>
      <c r="D236" s="94">
        <v>368.15357277553744</v>
      </c>
      <c r="E236" s="94">
        <v>407.8254133566623</v>
      </c>
      <c r="F236" s="306">
        <v>445.19317099841555</v>
      </c>
      <c r="G236" s="94">
        <v>482.12246384957655</v>
      </c>
      <c r="H236" s="94">
        <v>520.04372973199804</v>
      </c>
      <c r="I236" s="20"/>
    </row>
    <row r="237" spans="1:9" s="1" customFormat="1" ht="9" customHeight="1">
      <c r="B237" s="35"/>
      <c r="C237" s="48"/>
      <c r="D237" s="48"/>
      <c r="E237" s="48"/>
      <c r="F237" s="93"/>
      <c r="G237" s="48"/>
      <c r="H237" s="48"/>
      <c r="I237" s="20"/>
    </row>
    <row r="238" spans="1:9" s="1" customFormat="1" ht="13.9" customHeight="1">
      <c r="A238" s="17" t="s">
        <v>287</v>
      </c>
      <c r="B238" s="95" t="s">
        <v>121</v>
      </c>
      <c r="C238" s="233">
        <v>2450</v>
      </c>
      <c r="D238" s="233">
        <v>2096</v>
      </c>
      <c r="E238" s="233">
        <v>2618</v>
      </c>
      <c r="F238" s="233">
        <v>2995</v>
      </c>
      <c r="G238" s="233">
        <v>3186</v>
      </c>
      <c r="H238" s="233">
        <v>3374</v>
      </c>
      <c r="I238" s="20"/>
    </row>
    <row r="239" spans="1:9" s="1" customFormat="1" ht="13.9" customHeight="1">
      <c r="A239" s="17" t="s">
        <v>288</v>
      </c>
      <c r="B239" s="95"/>
      <c r="C239" s="233"/>
      <c r="D239" s="233"/>
      <c r="E239" s="233"/>
      <c r="F239" s="234"/>
      <c r="G239" s="233"/>
      <c r="H239" s="233"/>
      <c r="I239" s="20"/>
    </row>
    <row r="240" spans="1:9" s="1" customFormat="1" ht="9.75" customHeight="1">
      <c r="A240" s="17"/>
      <c r="B240" s="95"/>
      <c r="C240" s="233"/>
      <c r="D240" s="233"/>
      <c r="E240" s="233"/>
      <c r="F240" s="234"/>
      <c r="G240" s="233"/>
      <c r="H240" s="233"/>
      <c r="I240" s="20"/>
    </row>
    <row r="241" spans="1:9" s="1" customFormat="1" ht="13.9" customHeight="1">
      <c r="A241" s="1" t="s">
        <v>43</v>
      </c>
      <c r="B241" s="35" t="s">
        <v>9</v>
      </c>
      <c r="C241" s="305">
        <v>36</v>
      </c>
      <c r="D241" s="305">
        <v>31</v>
      </c>
      <c r="E241" s="305">
        <v>28</v>
      </c>
      <c r="F241" s="231">
        <v>30</v>
      </c>
      <c r="G241" s="305">
        <v>30</v>
      </c>
      <c r="H241" s="305">
        <v>30</v>
      </c>
      <c r="I241" s="20"/>
    </row>
    <row r="242" spans="1:9" s="1" customFormat="1" ht="13.9" customHeight="1">
      <c r="A242" s="1" t="s">
        <v>44</v>
      </c>
      <c r="B242" s="35" t="s">
        <v>4</v>
      </c>
      <c r="C242" s="232">
        <v>66201.56</v>
      </c>
      <c r="D242" s="232">
        <v>73687.322580645166</v>
      </c>
      <c r="E242" s="232">
        <v>92116.631249999991</v>
      </c>
      <c r="F242" s="96">
        <v>98750.006249999991</v>
      </c>
      <c r="G242" s="232">
        <v>105166.92375</v>
      </c>
      <c r="H242" s="232">
        <v>111475.61249999999</v>
      </c>
      <c r="I242" s="20"/>
    </row>
    <row r="243" spans="1:9" s="1" customFormat="1" ht="13.9" customHeight="1">
      <c r="A243" s="1" t="s">
        <v>149</v>
      </c>
      <c r="B243" s="35" t="s">
        <v>121</v>
      </c>
      <c r="C243" s="305">
        <v>595</v>
      </c>
      <c r="D243" s="305">
        <v>406.39399999999995</v>
      </c>
      <c r="E243" s="305">
        <v>445</v>
      </c>
      <c r="F243" s="231">
        <v>477</v>
      </c>
      <c r="G243" s="305">
        <v>508</v>
      </c>
      <c r="H243" s="305">
        <v>538</v>
      </c>
      <c r="I243" s="20"/>
    </row>
    <row r="244" spans="1:9" s="1" customFormat="1" ht="13.9" customHeight="1">
      <c r="A244" s="1" t="s">
        <v>150</v>
      </c>
      <c r="B244" s="35"/>
      <c r="C244" s="94"/>
      <c r="D244" s="94"/>
      <c r="E244" s="94"/>
      <c r="F244" s="232"/>
      <c r="G244" s="94"/>
      <c r="H244" s="94"/>
      <c r="I244" s="20"/>
    </row>
    <row r="245" spans="1:9" s="1" customFormat="1" ht="13.9" customHeight="1">
      <c r="A245" s="1" t="s">
        <v>149</v>
      </c>
      <c r="B245" s="35" t="s">
        <v>121</v>
      </c>
      <c r="C245" s="305">
        <v>67</v>
      </c>
      <c r="D245" s="305">
        <v>-188.14699999999999</v>
      </c>
      <c r="E245" s="305">
        <v>39</v>
      </c>
      <c r="F245" s="231">
        <v>32</v>
      </c>
      <c r="G245" s="305">
        <v>31</v>
      </c>
      <c r="H245" s="305">
        <v>30</v>
      </c>
      <c r="I245" s="20"/>
    </row>
    <row r="246" spans="1:9" s="1" customFormat="1">
      <c r="A246" s="1" t="s">
        <v>151</v>
      </c>
      <c r="B246" s="35"/>
      <c r="C246" s="48"/>
      <c r="D246" s="48"/>
      <c r="E246" s="48"/>
      <c r="F246" s="26"/>
      <c r="G246" s="48"/>
      <c r="H246" s="48"/>
      <c r="I246" s="20"/>
    </row>
    <row r="247" spans="1:9" s="31" customFormat="1" ht="7.5" customHeight="1">
      <c r="A247" s="40"/>
      <c r="B247" s="39"/>
      <c r="C247" s="42"/>
      <c r="D247" s="42"/>
      <c r="E247" s="42"/>
      <c r="F247" s="222"/>
      <c r="G247" s="42"/>
      <c r="H247" s="8"/>
      <c r="I247" s="34"/>
    </row>
    <row r="248" spans="1:9" s="1" customFormat="1" ht="13.9" customHeight="1">
      <c r="A248" s="17" t="s">
        <v>289</v>
      </c>
      <c r="B248" s="95" t="s">
        <v>121</v>
      </c>
      <c r="C248" s="43">
        <v>412</v>
      </c>
      <c r="D248" s="43">
        <v>434</v>
      </c>
      <c r="E248" s="43">
        <v>497</v>
      </c>
      <c r="F248" s="43">
        <v>537</v>
      </c>
      <c r="G248" s="43">
        <v>575</v>
      </c>
      <c r="H248" s="43">
        <v>610</v>
      </c>
      <c r="I248" s="20"/>
    </row>
    <row r="249" spans="1:9" s="1" customFormat="1" ht="13.9" customHeight="1">
      <c r="A249" s="1" t="s">
        <v>45</v>
      </c>
      <c r="B249" s="35" t="s">
        <v>9</v>
      </c>
      <c r="C249" s="307">
        <v>195</v>
      </c>
      <c r="D249" s="307">
        <v>180</v>
      </c>
      <c r="E249" s="305">
        <v>180</v>
      </c>
      <c r="F249" s="231">
        <v>175</v>
      </c>
      <c r="G249" s="305">
        <v>170</v>
      </c>
      <c r="H249" s="305">
        <v>165</v>
      </c>
      <c r="I249" s="20"/>
    </row>
    <row r="250" spans="1:9" s="1" customFormat="1" ht="13.9" customHeight="1">
      <c r="A250" s="1" t="s">
        <v>46</v>
      </c>
      <c r="B250" s="35" t="s">
        <v>2</v>
      </c>
      <c r="C250" s="307">
        <v>1281</v>
      </c>
      <c r="D250" s="307">
        <v>1255</v>
      </c>
      <c r="E250" s="307">
        <v>1260</v>
      </c>
      <c r="F250" s="308">
        <v>1225</v>
      </c>
      <c r="G250" s="307">
        <v>1190</v>
      </c>
      <c r="H250" s="307">
        <v>1155</v>
      </c>
      <c r="I250" s="20"/>
    </row>
    <row r="251" spans="1:9" s="1" customFormat="1" ht="13.9" customHeight="1">
      <c r="A251" s="1" t="s">
        <v>42</v>
      </c>
      <c r="B251" s="35" t="s">
        <v>4</v>
      </c>
      <c r="C251" s="94">
        <v>321.37</v>
      </c>
      <c r="D251" s="94">
        <v>345.77290836653384</v>
      </c>
      <c r="E251" s="94">
        <v>394.33699043091133</v>
      </c>
      <c r="F251" s="306">
        <v>438.73343848164973</v>
      </c>
      <c r="G251" s="94">
        <v>483.24296861879918</v>
      </c>
      <c r="H251" s="94">
        <v>528.23145065226754</v>
      </c>
      <c r="I251" s="20"/>
    </row>
    <row r="252" spans="1:9" s="1" customFormat="1" ht="13.9" customHeight="1">
      <c r="B252" s="35"/>
      <c r="C252" s="94"/>
      <c r="D252" s="94"/>
      <c r="E252" s="94"/>
      <c r="F252" s="96"/>
      <c r="G252" s="94"/>
      <c r="H252" s="94"/>
      <c r="I252" s="20"/>
    </row>
    <row r="253" spans="1:9" s="1" customFormat="1" ht="15.75" customHeight="1">
      <c r="B253" s="35"/>
      <c r="C253" s="94"/>
      <c r="D253" s="94"/>
      <c r="E253" s="94"/>
      <c r="F253" s="94"/>
      <c r="G253" s="94"/>
      <c r="H253" s="94"/>
      <c r="I253" s="20"/>
    </row>
    <row r="254" spans="1:9" s="31" customFormat="1" ht="15" customHeight="1">
      <c r="A254" s="38"/>
      <c r="B254" s="39"/>
      <c r="C254" s="41"/>
      <c r="D254" s="41"/>
      <c r="E254" s="41"/>
      <c r="F254" s="41"/>
      <c r="G254" s="41"/>
      <c r="H254" s="8" t="s">
        <v>5</v>
      </c>
      <c r="I254" s="34"/>
    </row>
    <row r="255" spans="1:9" s="31" customFormat="1" ht="17.25" customHeight="1">
      <c r="A255" s="40"/>
      <c r="B255" s="39"/>
      <c r="C255" s="42"/>
      <c r="D255" s="42"/>
      <c r="E255" s="42"/>
      <c r="F255" s="42"/>
      <c r="G255" s="42"/>
      <c r="H255" s="8" t="s">
        <v>0</v>
      </c>
      <c r="I255" s="34"/>
    </row>
    <row r="256" spans="1:9" ht="21" customHeight="1">
      <c r="A256" s="44"/>
      <c r="B256" s="568" t="s">
        <v>1</v>
      </c>
      <c r="C256" s="566" t="s">
        <v>412</v>
      </c>
      <c r="D256" s="566" t="s">
        <v>500</v>
      </c>
      <c r="E256" s="566" t="s">
        <v>501</v>
      </c>
      <c r="F256" s="572" t="s">
        <v>502</v>
      </c>
      <c r="G256" s="566" t="s">
        <v>418</v>
      </c>
      <c r="H256" s="566" t="s">
        <v>503</v>
      </c>
    </row>
    <row r="257" spans="1:17" ht="14.25" customHeight="1">
      <c r="A257" s="45"/>
      <c r="B257" s="569" t="s">
        <v>2</v>
      </c>
      <c r="C257" s="570"/>
      <c r="D257" s="570"/>
      <c r="E257" s="570"/>
      <c r="F257" s="573"/>
      <c r="G257" s="567"/>
      <c r="H257" s="567"/>
    </row>
    <row r="258" spans="1:17" s="1" customFormat="1" hidden="1">
      <c r="B258" s="35"/>
      <c r="C258" s="48"/>
      <c r="D258" s="48"/>
      <c r="E258" s="26"/>
      <c r="F258" s="93"/>
      <c r="G258" s="49"/>
      <c r="H258" s="49"/>
      <c r="I258" s="20"/>
    </row>
    <row r="259" spans="1:17" ht="14.25" hidden="1">
      <c r="A259" s="98" t="s">
        <v>368</v>
      </c>
      <c r="B259" s="84" t="s">
        <v>121</v>
      </c>
      <c r="C259" s="59" t="s">
        <v>122</v>
      </c>
      <c r="D259" s="59" t="s">
        <v>122</v>
      </c>
      <c r="E259" s="59" t="s">
        <v>122</v>
      </c>
      <c r="F259" s="130" t="s">
        <v>122</v>
      </c>
      <c r="G259" s="59" t="s">
        <v>122</v>
      </c>
      <c r="H259" s="59" t="s">
        <v>122</v>
      </c>
      <c r="I259" s="24"/>
    </row>
    <row r="260" spans="1:17" ht="17.25" hidden="1" customHeight="1">
      <c r="A260" s="99" t="s">
        <v>290</v>
      </c>
      <c r="B260" s="10"/>
      <c r="F260" s="81"/>
    </row>
    <row r="261" spans="1:17" ht="13.5" customHeight="1">
      <c r="A261" s="100"/>
      <c r="B261" s="84"/>
      <c r="C261" s="50"/>
      <c r="D261" s="50"/>
      <c r="E261" s="50"/>
      <c r="F261" s="50"/>
      <c r="G261" s="50"/>
      <c r="H261" s="50"/>
      <c r="I261" s="24"/>
    </row>
    <row r="262" spans="1:17" ht="14.25">
      <c r="A262" s="99" t="s">
        <v>369</v>
      </c>
      <c r="B262" s="84" t="s">
        <v>121</v>
      </c>
      <c r="C262" s="309">
        <v>8876</v>
      </c>
      <c r="D262" s="309">
        <v>6886</v>
      </c>
      <c r="E262" s="310">
        <v>9000</v>
      </c>
      <c r="F262" s="310">
        <v>9000</v>
      </c>
      <c r="G262" s="310">
        <v>9000</v>
      </c>
      <c r="H262" s="310">
        <v>9000</v>
      </c>
      <c r="I262" s="24"/>
    </row>
    <row r="263" spans="1:17" ht="14.25" customHeight="1">
      <c r="A263" s="99" t="s">
        <v>290</v>
      </c>
      <c r="B263" s="10"/>
      <c r="F263" s="14"/>
    </row>
    <row r="264" spans="1:17" ht="9.75" customHeight="1">
      <c r="A264" s="4"/>
      <c r="B264" s="5"/>
      <c r="C264" s="51"/>
      <c r="D264" s="51"/>
      <c r="E264" s="51"/>
      <c r="F264" s="139"/>
      <c r="G264" s="51"/>
      <c r="H264" s="51"/>
    </row>
    <row r="265" spans="1:17" ht="15.75">
      <c r="A265" s="101" t="s">
        <v>370</v>
      </c>
      <c r="B265" s="102" t="s">
        <v>121</v>
      </c>
      <c r="C265" s="311">
        <v>117037</v>
      </c>
      <c r="D265" s="311">
        <v>129409</v>
      </c>
      <c r="E265" s="312">
        <v>146384</v>
      </c>
      <c r="F265" s="312">
        <v>157974</v>
      </c>
      <c r="G265" s="312">
        <v>167603</v>
      </c>
      <c r="H265" s="312">
        <v>176666</v>
      </c>
      <c r="Q265" s="11"/>
    </row>
    <row r="266" spans="1:17" s="6" customFormat="1" ht="10.5" customHeight="1">
      <c r="A266" s="103"/>
      <c r="B266" s="104"/>
      <c r="C266" s="235"/>
      <c r="D266" s="235"/>
      <c r="E266" s="235"/>
      <c r="F266" s="236"/>
      <c r="G266" s="235"/>
      <c r="H266" s="235"/>
      <c r="P266" s="3"/>
      <c r="Q266" s="11"/>
    </row>
    <row r="267" spans="1:17" s="2" customFormat="1" ht="15.75" customHeight="1">
      <c r="A267" s="105" t="s">
        <v>371</v>
      </c>
      <c r="B267" s="102" t="s">
        <v>121</v>
      </c>
      <c r="C267" s="311">
        <v>109950</v>
      </c>
      <c r="D267" s="311">
        <v>123714</v>
      </c>
      <c r="E267" s="312">
        <v>137154</v>
      </c>
      <c r="F267" s="312">
        <v>149454</v>
      </c>
      <c r="G267" s="312">
        <v>158573</v>
      </c>
      <c r="H267" s="312">
        <v>167366</v>
      </c>
      <c r="P267" s="3"/>
      <c r="Q267" s="11"/>
    </row>
    <row r="268" spans="1:17" ht="12.75" customHeight="1">
      <c r="A268" s="106" t="s">
        <v>205</v>
      </c>
      <c r="B268" s="107"/>
      <c r="C268" s="313"/>
      <c r="D268" s="313"/>
      <c r="E268" s="313"/>
      <c r="F268" s="314"/>
      <c r="G268" s="313"/>
      <c r="H268" s="313"/>
      <c r="Q268" s="11"/>
    </row>
    <row r="269" spans="1:17" ht="12.75" customHeight="1">
      <c r="A269" s="106"/>
      <c r="B269" s="107"/>
      <c r="C269" s="313"/>
      <c r="D269" s="313"/>
      <c r="E269" s="313"/>
      <c r="F269" s="314"/>
      <c r="G269" s="313"/>
      <c r="H269" s="313"/>
      <c r="Q269" s="11"/>
    </row>
    <row r="270" spans="1:17" ht="20.25" customHeight="1">
      <c r="A270" s="111" t="s">
        <v>372</v>
      </c>
      <c r="B270" s="102" t="s">
        <v>121</v>
      </c>
      <c r="C270" s="315">
        <v>63</v>
      </c>
      <c r="D270" s="315">
        <v>484</v>
      </c>
      <c r="E270" s="316">
        <v>700</v>
      </c>
      <c r="F270" s="316">
        <v>1200</v>
      </c>
      <c r="G270" s="316">
        <v>1200</v>
      </c>
      <c r="H270" s="316">
        <v>1200</v>
      </c>
      <c r="Q270" s="11"/>
    </row>
    <row r="271" spans="1:17" ht="6.75" customHeight="1">
      <c r="A271" s="111"/>
      <c r="B271" s="102"/>
      <c r="C271" s="315"/>
      <c r="D271" s="315"/>
      <c r="E271" s="316"/>
      <c r="F271" s="316"/>
      <c r="G271" s="316"/>
      <c r="H271" s="316"/>
      <c r="Q271" s="11"/>
    </row>
    <row r="272" spans="1:17" s="2" customFormat="1" ht="12" customHeight="1">
      <c r="A272" s="105" t="s">
        <v>374</v>
      </c>
      <c r="B272" s="102" t="s">
        <v>121</v>
      </c>
      <c r="C272" s="315">
        <v>7024</v>
      </c>
      <c r="D272" s="315">
        <v>5211</v>
      </c>
      <c r="E272" s="316">
        <v>8530</v>
      </c>
      <c r="F272" s="316">
        <v>7320</v>
      </c>
      <c r="G272" s="316">
        <v>7830</v>
      </c>
      <c r="H272" s="316">
        <v>8100</v>
      </c>
      <c r="P272" s="3"/>
      <c r="Q272" s="11"/>
    </row>
    <row r="273" spans="1:9" ht="7.5" customHeight="1">
      <c r="A273" s="105"/>
      <c r="B273" s="107"/>
      <c r="C273" s="108"/>
      <c r="D273" s="108"/>
      <c r="E273" s="108"/>
      <c r="F273" s="109"/>
      <c r="G273" s="110"/>
      <c r="H273" s="110"/>
    </row>
    <row r="274" spans="1:9">
      <c r="A274" s="112"/>
      <c r="B274" s="113"/>
      <c r="C274" s="114"/>
      <c r="D274" s="114"/>
      <c r="E274" s="52"/>
      <c r="F274" s="137"/>
      <c r="G274" s="8"/>
      <c r="H274" s="8"/>
    </row>
    <row r="275" spans="1:9" ht="21" customHeight="1">
      <c r="A275" s="115" t="s">
        <v>373</v>
      </c>
      <c r="B275" s="116" t="s">
        <v>121</v>
      </c>
      <c r="C275" s="237">
        <v>7063337</v>
      </c>
      <c r="D275" s="237">
        <v>7888856</v>
      </c>
      <c r="E275" s="237">
        <v>8845873</v>
      </c>
      <c r="F275" s="237">
        <f>F265+F262+F187+F177+F132+F112+F14</f>
        <v>9845478</v>
      </c>
      <c r="G275" s="237">
        <f>G265+G262+G187+G177+G132+G112+G14</f>
        <v>10746651</v>
      </c>
      <c r="H275" s="237">
        <f>H265+H262+H187+H177+H132+H112+H14</f>
        <v>11625671</v>
      </c>
    </row>
    <row r="276" spans="1:9">
      <c r="B276" s="10"/>
      <c r="C276" s="12"/>
      <c r="D276" s="12"/>
      <c r="E276" s="12"/>
      <c r="F276" s="12"/>
      <c r="G276" s="12"/>
      <c r="H276" s="12"/>
    </row>
    <row r="277" spans="1:9">
      <c r="B277" s="10"/>
      <c r="C277" s="10"/>
      <c r="D277" s="10"/>
      <c r="E277" s="10"/>
      <c r="F277" s="10"/>
      <c r="G277" s="10"/>
      <c r="H277" s="532"/>
    </row>
    <row r="278" spans="1:9">
      <c r="B278" s="10"/>
      <c r="C278" s="77"/>
      <c r="D278" s="77"/>
      <c r="E278" s="77"/>
      <c r="F278" s="77"/>
      <c r="G278" s="77"/>
      <c r="H278" s="77"/>
    </row>
    <row r="279" spans="1:9">
      <c r="B279" s="10"/>
    </row>
    <row r="280" spans="1:9">
      <c r="B280" s="10"/>
    </row>
    <row r="281" spans="1:9">
      <c r="B281" s="10"/>
    </row>
    <row r="282" spans="1:9" ht="6" customHeight="1">
      <c r="B282" s="10"/>
    </row>
    <row r="283" spans="1:9" ht="14.25" customHeight="1">
      <c r="B283" s="10"/>
    </row>
    <row r="284" spans="1:9" ht="6" customHeight="1">
      <c r="B284" s="10"/>
    </row>
    <row r="285" spans="1:9" ht="26.25" customHeight="1">
      <c r="B285" s="10"/>
    </row>
    <row r="286" spans="1:9" ht="6" customHeight="1">
      <c r="B286" s="10"/>
    </row>
    <row r="287" spans="1:9" ht="12" customHeight="1">
      <c r="B287" s="10"/>
    </row>
    <row r="288" spans="1:9" s="2" customFormat="1" ht="12" customHeight="1">
      <c r="A288" s="3"/>
      <c r="B288" s="10"/>
      <c r="G288" s="3"/>
      <c r="H288" s="3"/>
      <c r="I288" s="3"/>
    </row>
    <row r="289" spans="1:9" s="2" customFormat="1" ht="12" customHeight="1">
      <c r="A289" s="3"/>
      <c r="B289" s="10"/>
      <c r="G289" s="3"/>
      <c r="H289" s="3"/>
      <c r="I289" s="3"/>
    </row>
    <row r="290" spans="1:9" s="2" customFormat="1" ht="6.75" customHeight="1">
      <c r="A290" s="3"/>
      <c r="B290" s="10"/>
      <c r="G290" s="3"/>
      <c r="H290" s="3"/>
      <c r="I290" s="3"/>
    </row>
    <row r="291" spans="1:9" s="2" customFormat="1" ht="6.75" customHeight="1">
      <c r="A291" s="3"/>
      <c r="B291" s="10"/>
      <c r="G291" s="3"/>
      <c r="H291" s="3"/>
      <c r="I291" s="3"/>
    </row>
    <row r="292" spans="1:9" s="2" customFormat="1" ht="36" customHeight="1">
      <c r="A292" s="3"/>
      <c r="B292" s="10"/>
      <c r="G292" s="3"/>
      <c r="H292" s="3"/>
      <c r="I292" s="3"/>
    </row>
    <row r="293" spans="1:9" s="2" customFormat="1" ht="7.5" customHeight="1">
      <c r="A293" s="3"/>
      <c r="B293" s="10"/>
      <c r="G293" s="3"/>
      <c r="H293" s="3"/>
      <c r="I293" s="3"/>
    </row>
    <row r="294" spans="1:9" s="2" customFormat="1" ht="12" customHeight="1">
      <c r="A294" s="3"/>
      <c r="B294" s="10"/>
      <c r="G294" s="3"/>
      <c r="H294" s="3"/>
      <c r="I294" s="3"/>
    </row>
    <row r="295" spans="1:9" s="2" customFormat="1" ht="12" customHeight="1">
      <c r="A295" s="3"/>
      <c r="B295" s="10"/>
      <c r="G295" s="3"/>
      <c r="H295" s="3"/>
      <c r="I295" s="3"/>
    </row>
    <row r="296" spans="1:9" s="2" customFormat="1" ht="12" customHeight="1">
      <c r="A296" s="3"/>
      <c r="B296" s="10"/>
      <c r="G296" s="3"/>
      <c r="H296" s="3"/>
      <c r="I296" s="3"/>
    </row>
    <row r="297" spans="1:9" s="2" customFormat="1" ht="6.75" customHeight="1">
      <c r="A297" s="3"/>
      <c r="B297" s="10"/>
      <c r="G297" s="3"/>
      <c r="H297" s="3"/>
      <c r="I297" s="3"/>
    </row>
    <row r="298" spans="1:9" s="2" customFormat="1">
      <c r="A298" s="3"/>
      <c r="B298" s="10"/>
      <c r="G298" s="3"/>
      <c r="H298" s="3"/>
      <c r="I298" s="3"/>
    </row>
    <row r="299" spans="1:9" s="2" customFormat="1" ht="5.25" customHeight="1">
      <c r="A299" s="3"/>
      <c r="B299" s="10"/>
      <c r="G299" s="3"/>
      <c r="H299" s="3"/>
      <c r="I299" s="3"/>
    </row>
  </sheetData>
  <mergeCells count="30">
    <mergeCell ref="H88:H89"/>
    <mergeCell ref="B256:B257"/>
    <mergeCell ref="C256:C257"/>
    <mergeCell ref="D256:D257"/>
    <mergeCell ref="E256:E257"/>
    <mergeCell ref="F256:F257"/>
    <mergeCell ref="G256:G257"/>
    <mergeCell ref="H256:H257"/>
    <mergeCell ref="E174:E175"/>
    <mergeCell ref="H174:H175"/>
    <mergeCell ref="B174:B175"/>
    <mergeCell ref="C174:C175"/>
    <mergeCell ref="D174:D175"/>
    <mergeCell ref="F174:F175"/>
    <mergeCell ref="G174:G175"/>
    <mergeCell ref="E88:E89"/>
    <mergeCell ref="H5:H6"/>
    <mergeCell ref="A2:G2"/>
    <mergeCell ref="A3:G3"/>
    <mergeCell ref="B5:B6"/>
    <mergeCell ref="C5:C6"/>
    <mergeCell ref="D5:D6"/>
    <mergeCell ref="E5:E6"/>
    <mergeCell ref="F5:F6"/>
    <mergeCell ref="G5:G6"/>
    <mergeCell ref="F88:F89"/>
    <mergeCell ref="G88:G89"/>
    <mergeCell ref="B88:B89"/>
    <mergeCell ref="C88:C89"/>
    <mergeCell ref="D88:D89"/>
  </mergeCells>
  <pageMargins left="0.62992125984251968" right="0.23622047244094491" top="0.23622047244094491" bottom="0.19685039370078741" header="0.27559055118110237" footer="0.19685039370078741"/>
  <pageSetup paperSize="9" scale="2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7CD5E-60A4-4D74-A0F5-172013BB97B1}">
  <sheetPr>
    <pageSetUpPr fitToPage="1"/>
  </sheetPr>
  <dimension ref="A1:K133"/>
  <sheetViews>
    <sheetView zoomScaleNormal="100" workbookViewId="0">
      <selection sqref="A1:E1"/>
    </sheetView>
  </sheetViews>
  <sheetFormatPr defaultRowHeight="12.75"/>
  <cols>
    <col min="1" max="1" width="55.7109375" style="22" customWidth="1"/>
    <col min="2" max="2" width="11.7109375" style="22" customWidth="1"/>
    <col min="3" max="4" width="11.140625" style="22" customWidth="1"/>
    <col min="5" max="5" width="11.28515625" style="22" customWidth="1"/>
    <col min="6" max="6" width="11.7109375" style="22" customWidth="1"/>
    <col min="7" max="7" width="12.5703125" style="22" customWidth="1"/>
    <col min="8" max="228" width="9.140625" style="22"/>
    <col min="229" max="237" width="0" style="22" hidden="1" customWidth="1"/>
    <col min="238" max="238" width="74.42578125" style="22" customWidth="1"/>
    <col min="239" max="245" width="0" style="22" hidden="1" customWidth="1"/>
    <col min="246" max="246" width="0.140625" style="22" customWidth="1"/>
    <col min="247" max="247" width="0" style="22" hidden="1" customWidth="1"/>
    <col min="248" max="248" width="13.85546875" style="22" customWidth="1"/>
    <col min="249" max="249" width="14.7109375" style="22" customWidth="1"/>
    <col min="250" max="250" width="14" style="22" customWidth="1"/>
    <col min="251" max="251" width="14.42578125" style="22" customWidth="1"/>
    <col min="252" max="484" width="9.140625" style="22"/>
    <col min="485" max="493" width="0" style="22" hidden="1" customWidth="1"/>
    <col min="494" max="494" width="74.42578125" style="22" customWidth="1"/>
    <col min="495" max="501" width="0" style="22" hidden="1" customWidth="1"/>
    <col min="502" max="502" width="0.140625" style="22" customWidth="1"/>
    <col min="503" max="503" width="0" style="22" hidden="1" customWidth="1"/>
    <col min="504" max="504" width="13.85546875" style="22" customWidth="1"/>
    <col min="505" max="505" width="14.7109375" style="22" customWidth="1"/>
    <col min="506" max="506" width="14" style="22" customWidth="1"/>
    <col min="507" max="507" width="14.42578125" style="22" customWidth="1"/>
    <col min="508" max="740" width="9.140625" style="22"/>
    <col min="741" max="749" width="0" style="22" hidden="1" customWidth="1"/>
    <col min="750" max="750" width="74.42578125" style="22" customWidth="1"/>
    <col min="751" max="757" width="0" style="22" hidden="1" customWidth="1"/>
    <col min="758" max="758" width="0.140625" style="22" customWidth="1"/>
    <col min="759" max="759" width="0" style="22" hidden="1" customWidth="1"/>
    <col min="760" max="760" width="13.85546875" style="22" customWidth="1"/>
    <col min="761" max="761" width="14.7109375" style="22" customWidth="1"/>
    <col min="762" max="762" width="14" style="22" customWidth="1"/>
    <col min="763" max="763" width="14.42578125" style="22" customWidth="1"/>
    <col min="764" max="996" width="9.140625" style="22"/>
    <col min="997" max="1005" width="0" style="22" hidden="1" customWidth="1"/>
    <col min="1006" max="1006" width="74.42578125" style="22" customWidth="1"/>
    <col min="1007" max="1013" width="0" style="22" hidden="1" customWidth="1"/>
    <col min="1014" max="1014" width="0.140625" style="22" customWidth="1"/>
    <col min="1015" max="1015" width="0" style="22" hidden="1" customWidth="1"/>
    <col min="1016" max="1016" width="13.85546875" style="22" customWidth="1"/>
    <col min="1017" max="1017" width="14.7109375" style="22" customWidth="1"/>
    <col min="1018" max="1018" width="14" style="22" customWidth="1"/>
    <col min="1019" max="1019" width="14.42578125" style="22" customWidth="1"/>
    <col min="1020" max="1252" width="9.140625" style="22"/>
    <col min="1253" max="1261" width="0" style="22" hidden="1" customWidth="1"/>
    <col min="1262" max="1262" width="74.42578125" style="22" customWidth="1"/>
    <col min="1263" max="1269" width="0" style="22" hidden="1" customWidth="1"/>
    <col min="1270" max="1270" width="0.140625" style="22" customWidth="1"/>
    <col min="1271" max="1271" width="0" style="22" hidden="1" customWidth="1"/>
    <col min="1272" max="1272" width="13.85546875" style="22" customWidth="1"/>
    <col min="1273" max="1273" width="14.7109375" style="22" customWidth="1"/>
    <col min="1274" max="1274" width="14" style="22" customWidth="1"/>
    <col min="1275" max="1275" width="14.42578125" style="22" customWidth="1"/>
    <col min="1276" max="1508" width="9.140625" style="22"/>
    <col min="1509" max="1517" width="0" style="22" hidden="1" customWidth="1"/>
    <col min="1518" max="1518" width="74.42578125" style="22" customWidth="1"/>
    <col min="1519" max="1525" width="0" style="22" hidden="1" customWidth="1"/>
    <col min="1526" max="1526" width="0.140625" style="22" customWidth="1"/>
    <col min="1527" max="1527" width="0" style="22" hidden="1" customWidth="1"/>
    <col min="1528" max="1528" width="13.85546875" style="22" customWidth="1"/>
    <col min="1529" max="1529" width="14.7109375" style="22" customWidth="1"/>
    <col min="1530" max="1530" width="14" style="22" customWidth="1"/>
    <col min="1531" max="1531" width="14.42578125" style="22" customWidth="1"/>
    <col min="1532" max="1764" width="9.140625" style="22"/>
    <col min="1765" max="1773" width="0" style="22" hidden="1" customWidth="1"/>
    <col min="1774" max="1774" width="74.42578125" style="22" customWidth="1"/>
    <col min="1775" max="1781" width="0" style="22" hidden="1" customWidth="1"/>
    <col min="1782" max="1782" width="0.140625" style="22" customWidth="1"/>
    <col min="1783" max="1783" width="0" style="22" hidden="1" customWidth="1"/>
    <col min="1784" max="1784" width="13.85546875" style="22" customWidth="1"/>
    <col min="1785" max="1785" width="14.7109375" style="22" customWidth="1"/>
    <col min="1786" max="1786" width="14" style="22" customWidth="1"/>
    <col min="1787" max="1787" width="14.42578125" style="22" customWidth="1"/>
    <col min="1788" max="2020" width="9.140625" style="22"/>
    <col min="2021" max="2029" width="0" style="22" hidden="1" customWidth="1"/>
    <col min="2030" max="2030" width="74.42578125" style="22" customWidth="1"/>
    <col min="2031" max="2037" width="0" style="22" hidden="1" customWidth="1"/>
    <col min="2038" max="2038" width="0.140625" style="22" customWidth="1"/>
    <col min="2039" max="2039" width="0" style="22" hidden="1" customWidth="1"/>
    <col min="2040" max="2040" width="13.85546875" style="22" customWidth="1"/>
    <col min="2041" max="2041" width="14.7109375" style="22" customWidth="1"/>
    <col min="2042" max="2042" width="14" style="22" customWidth="1"/>
    <col min="2043" max="2043" width="14.42578125" style="22" customWidth="1"/>
    <col min="2044" max="2276" width="9.140625" style="22"/>
    <col min="2277" max="2285" width="0" style="22" hidden="1" customWidth="1"/>
    <col min="2286" max="2286" width="74.42578125" style="22" customWidth="1"/>
    <col min="2287" max="2293" width="0" style="22" hidden="1" customWidth="1"/>
    <col min="2294" max="2294" width="0.140625" style="22" customWidth="1"/>
    <col min="2295" max="2295" width="0" style="22" hidden="1" customWidth="1"/>
    <col min="2296" max="2296" width="13.85546875" style="22" customWidth="1"/>
    <col min="2297" max="2297" width="14.7109375" style="22" customWidth="1"/>
    <col min="2298" max="2298" width="14" style="22" customWidth="1"/>
    <col min="2299" max="2299" width="14.42578125" style="22" customWidth="1"/>
    <col min="2300" max="2532" width="9.140625" style="22"/>
    <col min="2533" max="2541" width="0" style="22" hidden="1" customWidth="1"/>
    <col min="2542" max="2542" width="74.42578125" style="22" customWidth="1"/>
    <col min="2543" max="2549" width="0" style="22" hidden="1" customWidth="1"/>
    <col min="2550" max="2550" width="0.140625" style="22" customWidth="1"/>
    <col min="2551" max="2551" width="0" style="22" hidden="1" customWidth="1"/>
    <col min="2552" max="2552" width="13.85546875" style="22" customWidth="1"/>
    <col min="2553" max="2553" width="14.7109375" style="22" customWidth="1"/>
    <col min="2554" max="2554" width="14" style="22" customWidth="1"/>
    <col min="2555" max="2555" width="14.42578125" style="22" customWidth="1"/>
    <col min="2556" max="2788" width="9.140625" style="22"/>
    <col min="2789" max="2797" width="0" style="22" hidden="1" customWidth="1"/>
    <col min="2798" max="2798" width="74.42578125" style="22" customWidth="1"/>
    <col min="2799" max="2805" width="0" style="22" hidden="1" customWidth="1"/>
    <col min="2806" max="2806" width="0.140625" style="22" customWidth="1"/>
    <col min="2807" max="2807" width="0" style="22" hidden="1" customWidth="1"/>
    <col min="2808" max="2808" width="13.85546875" style="22" customWidth="1"/>
    <col min="2809" max="2809" width="14.7109375" style="22" customWidth="1"/>
    <col min="2810" max="2810" width="14" style="22" customWidth="1"/>
    <col min="2811" max="2811" width="14.42578125" style="22" customWidth="1"/>
    <col min="2812" max="3044" width="9.140625" style="22"/>
    <col min="3045" max="3053" width="0" style="22" hidden="1" customWidth="1"/>
    <col min="3054" max="3054" width="74.42578125" style="22" customWidth="1"/>
    <col min="3055" max="3061" width="0" style="22" hidden="1" customWidth="1"/>
    <col min="3062" max="3062" width="0.140625" style="22" customWidth="1"/>
    <col min="3063" max="3063" width="0" style="22" hidden="1" customWidth="1"/>
    <col min="3064" max="3064" width="13.85546875" style="22" customWidth="1"/>
    <col min="3065" max="3065" width="14.7109375" style="22" customWidth="1"/>
    <col min="3066" max="3066" width="14" style="22" customWidth="1"/>
    <col min="3067" max="3067" width="14.42578125" style="22" customWidth="1"/>
    <col min="3068" max="3300" width="9.140625" style="22"/>
    <col min="3301" max="3309" width="0" style="22" hidden="1" customWidth="1"/>
    <col min="3310" max="3310" width="74.42578125" style="22" customWidth="1"/>
    <col min="3311" max="3317" width="0" style="22" hidden="1" customWidth="1"/>
    <col min="3318" max="3318" width="0.140625" style="22" customWidth="1"/>
    <col min="3319" max="3319" width="0" style="22" hidden="1" customWidth="1"/>
    <col min="3320" max="3320" width="13.85546875" style="22" customWidth="1"/>
    <col min="3321" max="3321" width="14.7109375" style="22" customWidth="1"/>
    <col min="3322" max="3322" width="14" style="22" customWidth="1"/>
    <col min="3323" max="3323" width="14.42578125" style="22" customWidth="1"/>
    <col min="3324" max="3556" width="9.140625" style="22"/>
    <col min="3557" max="3565" width="0" style="22" hidden="1" customWidth="1"/>
    <col min="3566" max="3566" width="74.42578125" style="22" customWidth="1"/>
    <col min="3567" max="3573" width="0" style="22" hidden="1" customWidth="1"/>
    <col min="3574" max="3574" width="0.140625" style="22" customWidth="1"/>
    <col min="3575" max="3575" width="0" style="22" hidden="1" customWidth="1"/>
    <col min="3576" max="3576" width="13.85546875" style="22" customWidth="1"/>
    <col min="3577" max="3577" width="14.7109375" style="22" customWidth="1"/>
    <col min="3578" max="3578" width="14" style="22" customWidth="1"/>
    <col min="3579" max="3579" width="14.42578125" style="22" customWidth="1"/>
    <col min="3580" max="3812" width="9.140625" style="22"/>
    <col min="3813" max="3821" width="0" style="22" hidden="1" customWidth="1"/>
    <col min="3822" max="3822" width="74.42578125" style="22" customWidth="1"/>
    <col min="3823" max="3829" width="0" style="22" hidden="1" customWidth="1"/>
    <col min="3830" max="3830" width="0.140625" style="22" customWidth="1"/>
    <col min="3831" max="3831" width="0" style="22" hidden="1" customWidth="1"/>
    <col min="3832" max="3832" width="13.85546875" style="22" customWidth="1"/>
    <col min="3833" max="3833" width="14.7109375" style="22" customWidth="1"/>
    <col min="3834" max="3834" width="14" style="22" customWidth="1"/>
    <col min="3835" max="3835" width="14.42578125" style="22" customWidth="1"/>
    <col min="3836" max="4068" width="9.140625" style="22"/>
    <col min="4069" max="4077" width="0" style="22" hidden="1" customWidth="1"/>
    <col min="4078" max="4078" width="74.42578125" style="22" customWidth="1"/>
    <col min="4079" max="4085" width="0" style="22" hidden="1" customWidth="1"/>
    <col min="4086" max="4086" width="0.140625" style="22" customWidth="1"/>
    <col min="4087" max="4087" width="0" style="22" hidden="1" customWidth="1"/>
    <col min="4088" max="4088" width="13.85546875" style="22" customWidth="1"/>
    <col min="4089" max="4089" width="14.7109375" style="22" customWidth="1"/>
    <col min="4090" max="4090" width="14" style="22" customWidth="1"/>
    <col min="4091" max="4091" width="14.42578125" style="22" customWidth="1"/>
    <col min="4092" max="4324" width="9.140625" style="22"/>
    <col min="4325" max="4333" width="0" style="22" hidden="1" customWidth="1"/>
    <col min="4334" max="4334" width="74.42578125" style="22" customWidth="1"/>
    <col min="4335" max="4341" width="0" style="22" hidden="1" customWidth="1"/>
    <col min="4342" max="4342" width="0.140625" style="22" customWidth="1"/>
    <col min="4343" max="4343" width="0" style="22" hidden="1" customWidth="1"/>
    <col min="4344" max="4344" width="13.85546875" style="22" customWidth="1"/>
    <col min="4345" max="4345" width="14.7109375" style="22" customWidth="1"/>
    <col min="4346" max="4346" width="14" style="22" customWidth="1"/>
    <col min="4347" max="4347" width="14.42578125" style="22" customWidth="1"/>
    <col min="4348" max="4580" width="9.140625" style="22"/>
    <col min="4581" max="4589" width="0" style="22" hidden="1" customWidth="1"/>
    <col min="4590" max="4590" width="74.42578125" style="22" customWidth="1"/>
    <col min="4591" max="4597" width="0" style="22" hidden="1" customWidth="1"/>
    <col min="4598" max="4598" width="0.140625" style="22" customWidth="1"/>
    <col min="4599" max="4599" width="0" style="22" hidden="1" customWidth="1"/>
    <col min="4600" max="4600" width="13.85546875" style="22" customWidth="1"/>
    <col min="4601" max="4601" width="14.7109375" style="22" customWidth="1"/>
    <col min="4602" max="4602" width="14" style="22" customWidth="1"/>
    <col min="4603" max="4603" width="14.42578125" style="22" customWidth="1"/>
    <col min="4604" max="4836" width="9.140625" style="22"/>
    <col min="4837" max="4845" width="0" style="22" hidden="1" customWidth="1"/>
    <col min="4846" max="4846" width="74.42578125" style="22" customWidth="1"/>
    <col min="4847" max="4853" width="0" style="22" hidden="1" customWidth="1"/>
    <col min="4854" max="4854" width="0.140625" style="22" customWidth="1"/>
    <col min="4855" max="4855" width="0" style="22" hidden="1" customWidth="1"/>
    <col min="4856" max="4856" width="13.85546875" style="22" customWidth="1"/>
    <col min="4857" max="4857" width="14.7109375" style="22" customWidth="1"/>
    <col min="4858" max="4858" width="14" style="22" customWidth="1"/>
    <col min="4859" max="4859" width="14.42578125" style="22" customWidth="1"/>
    <col min="4860" max="5092" width="9.140625" style="22"/>
    <col min="5093" max="5101" width="0" style="22" hidden="1" customWidth="1"/>
    <col min="5102" max="5102" width="74.42578125" style="22" customWidth="1"/>
    <col min="5103" max="5109" width="0" style="22" hidden="1" customWidth="1"/>
    <col min="5110" max="5110" width="0.140625" style="22" customWidth="1"/>
    <col min="5111" max="5111" width="0" style="22" hidden="1" customWidth="1"/>
    <col min="5112" max="5112" width="13.85546875" style="22" customWidth="1"/>
    <col min="5113" max="5113" width="14.7109375" style="22" customWidth="1"/>
    <col min="5114" max="5114" width="14" style="22" customWidth="1"/>
    <col min="5115" max="5115" width="14.42578125" style="22" customWidth="1"/>
    <col min="5116" max="5348" width="9.140625" style="22"/>
    <col min="5349" max="5357" width="0" style="22" hidden="1" customWidth="1"/>
    <col min="5358" max="5358" width="74.42578125" style="22" customWidth="1"/>
    <col min="5359" max="5365" width="0" style="22" hidden="1" customWidth="1"/>
    <col min="5366" max="5366" width="0.140625" style="22" customWidth="1"/>
    <col min="5367" max="5367" width="0" style="22" hidden="1" customWidth="1"/>
    <col min="5368" max="5368" width="13.85546875" style="22" customWidth="1"/>
    <col min="5369" max="5369" width="14.7109375" style="22" customWidth="1"/>
    <col min="5370" max="5370" width="14" style="22" customWidth="1"/>
    <col min="5371" max="5371" width="14.42578125" style="22" customWidth="1"/>
    <col min="5372" max="5604" width="9.140625" style="22"/>
    <col min="5605" max="5613" width="0" style="22" hidden="1" customWidth="1"/>
    <col min="5614" max="5614" width="74.42578125" style="22" customWidth="1"/>
    <col min="5615" max="5621" width="0" style="22" hidden="1" customWidth="1"/>
    <col min="5622" max="5622" width="0.140625" style="22" customWidth="1"/>
    <col min="5623" max="5623" width="0" style="22" hidden="1" customWidth="1"/>
    <col min="5624" max="5624" width="13.85546875" style="22" customWidth="1"/>
    <col min="5625" max="5625" width="14.7109375" style="22" customWidth="1"/>
    <col min="5626" max="5626" width="14" style="22" customWidth="1"/>
    <col min="5627" max="5627" width="14.42578125" style="22" customWidth="1"/>
    <col min="5628" max="5860" width="9.140625" style="22"/>
    <col min="5861" max="5869" width="0" style="22" hidden="1" customWidth="1"/>
    <col min="5870" max="5870" width="74.42578125" style="22" customWidth="1"/>
    <col min="5871" max="5877" width="0" style="22" hidden="1" customWidth="1"/>
    <col min="5878" max="5878" width="0.140625" style="22" customWidth="1"/>
    <col min="5879" max="5879" width="0" style="22" hidden="1" customWidth="1"/>
    <col min="5880" max="5880" width="13.85546875" style="22" customWidth="1"/>
    <col min="5881" max="5881" width="14.7109375" style="22" customWidth="1"/>
    <col min="5882" max="5882" width="14" style="22" customWidth="1"/>
    <col min="5883" max="5883" width="14.42578125" style="22" customWidth="1"/>
    <col min="5884" max="6116" width="9.140625" style="22"/>
    <col min="6117" max="6125" width="0" style="22" hidden="1" customWidth="1"/>
    <col min="6126" max="6126" width="74.42578125" style="22" customWidth="1"/>
    <col min="6127" max="6133" width="0" style="22" hidden="1" customWidth="1"/>
    <col min="6134" max="6134" width="0.140625" style="22" customWidth="1"/>
    <col min="6135" max="6135" width="0" style="22" hidden="1" customWidth="1"/>
    <col min="6136" max="6136" width="13.85546875" style="22" customWidth="1"/>
    <col min="6137" max="6137" width="14.7109375" style="22" customWidth="1"/>
    <col min="6138" max="6138" width="14" style="22" customWidth="1"/>
    <col min="6139" max="6139" width="14.42578125" style="22" customWidth="1"/>
    <col min="6140" max="6372" width="9.140625" style="22"/>
    <col min="6373" max="6381" width="0" style="22" hidden="1" customWidth="1"/>
    <col min="6382" max="6382" width="74.42578125" style="22" customWidth="1"/>
    <col min="6383" max="6389" width="0" style="22" hidden="1" customWidth="1"/>
    <col min="6390" max="6390" width="0.140625" style="22" customWidth="1"/>
    <col min="6391" max="6391" width="0" style="22" hidden="1" customWidth="1"/>
    <col min="6392" max="6392" width="13.85546875" style="22" customWidth="1"/>
    <col min="6393" max="6393" width="14.7109375" style="22" customWidth="1"/>
    <col min="6394" max="6394" width="14" style="22" customWidth="1"/>
    <col min="6395" max="6395" width="14.42578125" style="22" customWidth="1"/>
    <col min="6396" max="6628" width="9.140625" style="22"/>
    <col min="6629" max="6637" width="0" style="22" hidden="1" customWidth="1"/>
    <col min="6638" max="6638" width="74.42578125" style="22" customWidth="1"/>
    <col min="6639" max="6645" width="0" style="22" hidden="1" customWidth="1"/>
    <col min="6646" max="6646" width="0.140625" style="22" customWidth="1"/>
    <col min="6647" max="6647" width="0" style="22" hidden="1" customWidth="1"/>
    <col min="6648" max="6648" width="13.85546875" style="22" customWidth="1"/>
    <col min="6649" max="6649" width="14.7109375" style="22" customWidth="1"/>
    <col min="6650" max="6650" width="14" style="22" customWidth="1"/>
    <col min="6651" max="6651" width="14.42578125" style="22" customWidth="1"/>
    <col min="6652" max="6884" width="9.140625" style="22"/>
    <col min="6885" max="6893" width="0" style="22" hidden="1" customWidth="1"/>
    <col min="6894" max="6894" width="74.42578125" style="22" customWidth="1"/>
    <col min="6895" max="6901" width="0" style="22" hidden="1" customWidth="1"/>
    <col min="6902" max="6902" width="0.140625" style="22" customWidth="1"/>
    <col min="6903" max="6903" width="0" style="22" hidden="1" customWidth="1"/>
    <col min="6904" max="6904" width="13.85546875" style="22" customWidth="1"/>
    <col min="6905" max="6905" width="14.7109375" style="22" customWidth="1"/>
    <col min="6906" max="6906" width="14" style="22" customWidth="1"/>
    <col min="6907" max="6907" width="14.42578125" style="22" customWidth="1"/>
    <col min="6908" max="7140" width="9.140625" style="22"/>
    <col min="7141" max="7149" width="0" style="22" hidden="1" customWidth="1"/>
    <col min="7150" max="7150" width="74.42578125" style="22" customWidth="1"/>
    <col min="7151" max="7157" width="0" style="22" hidden="1" customWidth="1"/>
    <col min="7158" max="7158" width="0.140625" style="22" customWidth="1"/>
    <col min="7159" max="7159" width="0" style="22" hidden="1" customWidth="1"/>
    <col min="7160" max="7160" width="13.85546875" style="22" customWidth="1"/>
    <col min="7161" max="7161" width="14.7109375" style="22" customWidth="1"/>
    <col min="7162" max="7162" width="14" style="22" customWidth="1"/>
    <col min="7163" max="7163" width="14.42578125" style="22" customWidth="1"/>
    <col min="7164" max="7396" width="9.140625" style="22"/>
    <col min="7397" max="7405" width="0" style="22" hidden="1" customWidth="1"/>
    <col min="7406" max="7406" width="74.42578125" style="22" customWidth="1"/>
    <col min="7407" max="7413" width="0" style="22" hidden="1" customWidth="1"/>
    <col min="7414" max="7414" width="0.140625" style="22" customWidth="1"/>
    <col min="7415" max="7415" width="0" style="22" hidden="1" customWidth="1"/>
    <col min="7416" max="7416" width="13.85546875" style="22" customWidth="1"/>
    <col min="7417" max="7417" width="14.7109375" style="22" customWidth="1"/>
    <col min="7418" max="7418" width="14" style="22" customWidth="1"/>
    <col min="7419" max="7419" width="14.42578125" style="22" customWidth="1"/>
    <col min="7420" max="7652" width="9.140625" style="22"/>
    <col min="7653" max="7661" width="0" style="22" hidden="1" customWidth="1"/>
    <col min="7662" max="7662" width="74.42578125" style="22" customWidth="1"/>
    <col min="7663" max="7669" width="0" style="22" hidden="1" customWidth="1"/>
    <col min="7670" max="7670" width="0.140625" style="22" customWidth="1"/>
    <col min="7671" max="7671" width="0" style="22" hidden="1" customWidth="1"/>
    <col min="7672" max="7672" width="13.85546875" style="22" customWidth="1"/>
    <col min="7673" max="7673" width="14.7109375" style="22" customWidth="1"/>
    <col min="7674" max="7674" width="14" style="22" customWidth="1"/>
    <col min="7675" max="7675" width="14.42578125" style="22" customWidth="1"/>
    <col min="7676" max="7908" width="9.140625" style="22"/>
    <col min="7909" max="7917" width="0" style="22" hidden="1" customWidth="1"/>
    <col min="7918" max="7918" width="74.42578125" style="22" customWidth="1"/>
    <col min="7919" max="7925" width="0" style="22" hidden="1" customWidth="1"/>
    <col min="7926" max="7926" width="0.140625" style="22" customWidth="1"/>
    <col min="7927" max="7927" width="0" style="22" hidden="1" customWidth="1"/>
    <col min="7928" max="7928" width="13.85546875" style="22" customWidth="1"/>
    <col min="7929" max="7929" width="14.7109375" style="22" customWidth="1"/>
    <col min="7930" max="7930" width="14" style="22" customWidth="1"/>
    <col min="7931" max="7931" width="14.42578125" style="22" customWidth="1"/>
    <col min="7932" max="8164" width="9.140625" style="22"/>
    <col min="8165" max="8173" width="0" style="22" hidden="1" customWidth="1"/>
    <col min="8174" max="8174" width="74.42578125" style="22" customWidth="1"/>
    <col min="8175" max="8181" width="0" style="22" hidden="1" customWidth="1"/>
    <col min="8182" max="8182" width="0.140625" style="22" customWidth="1"/>
    <col min="8183" max="8183" width="0" style="22" hidden="1" customWidth="1"/>
    <col min="8184" max="8184" width="13.85546875" style="22" customWidth="1"/>
    <col min="8185" max="8185" width="14.7109375" style="22" customWidth="1"/>
    <col min="8186" max="8186" width="14" style="22" customWidth="1"/>
    <col min="8187" max="8187" width="14.42578125" style="22" customWidth="1"/>
    <col min="8188" max="8420" width="9.140625" style="22"/>
    <col min="8421" max="8429" width="0" style="22" hidden="1" customWidth="1"/>
    <col min="8430" max="8430" width="74.42578125" style="22" customWidth="1"/>
    <col min="8431" max="8437" width="0" style="22" hidden="1" customWidth="1"/>
    <col min="8438" max="8438" width="0.140625" style="22" customWidth="1"/>
    <col min="8439" max="8439" width="0" style="22" hidden="1" customWidth="1"/>
    <col min="8440" max="8440" width="13.85546875" style="22" customWidth="1"/>
    <col min="8441" max="8441" width="14.7109375" style="22" customWidth="1"/>
    <col min="8442" max="8442" width="14" style="22" customWidth="1"/>
    <col min="8443" max="8443" width="14.42578125" style="22" customWidth="1"/>
    <col min="8444" max="8676" width="9.140625" style="22"/>
    <col min="8677" max="8685" width="0" style="22" hidden="1" customWidth="1"/>
    <col min="8686" max="8686" width="74.42578125" style="22" customWidth="1"/>
    <col min="8687" max="8693" width="0" style="22" hidden="1" customWidth="1"/>
    <col min="8694" max="8694" width="0.140625" style="22" customWidth="1"/>
    <col min="8695" max="8695" width="0" style="22" hidden="1" customWidth="1"/>
    <col min="8696" max="8696" width="13.85546875" style="22" customWidth="1"/>
    <col min="8697" max="8697" width="14.7109375" style="22" customWidth="1"/>
    <col min="8698" max="8698" width="14" style="22" customWidth="1"/>
    <col min="8699" max="8699" width="14.42578125" style="22" customWidth="1"/>
    <col min="8700" max="8932" width="9.140625" style="22"/>
    <col min="8933" max="8941" width="0" style="22" hidden="1" customWidth="1"/>
    <col min="8942" max="8942" width="74.42578125" style="22" customWidth="1"/>
    <col min="8943" max="8949" width="0" style="22" hidden="1" customWidth="1"/>
    <col min="8950" max="8950" width="0.140625" style="22" customWidth="1"/>
    <col min="8951" max="8951" width="0" style="22" hidden="1" customWidth="1"/>
    <col min="8952" max="8952" width="13.85546875" style="22" customWidth="1"/>
    <col min="8953" max="8953" width="14.7109375" style="22" customWidth="1"/>
    <col min="8954" max="8954" width="14" style="22" customWidth="1"/>
    <col min="8955" max="8955" width="14.42578125" style="22" customWidth="1"/>
    <col min="8956" max="9188" width="9.140625" style="22"/>
    <col min="9189" max="9197" width="0" style="22" hidden="1" customWidth="1"/>
    <col min="9198" max="9198" width="74.42578125" style="22" customWidth="1"/>
    <col min="9199" max="9205" width="0" style="22" hidden="1" customWidth="1"/>
    <col min="9206" max="9206" width="0.140625" style="22" customWidth="1"/>
    <col min="9207" max="9207" width="0" style="22" hidden="1" customWidth="1"/>
    <col min="9208" max="9208" width="13.85546875" style="22" customWidth="1"/>
    <col min="9209" max="9209" width="14.7109375" style="22" customWidth="1"/>
    <col min="9210" max="9210" width="14" style="22" customWidth="1"/>
    <col min="9211" max="9211" width="14.42578125" style="22" customWidth="1"/>
    <col min="9212" max="9444" width="9.140625" style="22"/>
    <col min="9445" max="9453" width="0" style="22" hidden="1" customWidth="1"/>
    <col min="9454" max="9454" width="74.42578125" style="22" customWidth="1"/>
    <col min="9455" max="9461" width="0" style="22" hidden="1" customWidth="1"/>
    <col min="9462" max="9462" width="0.140625" style="22" customWidth="1"/>
    <col min="9463" max="9463" width="0" style="22" hidden="1" customWidth="1"/>
    <col min="9464" max="9464" width="13.85546875" style="22" customWidth="1"/>
    <col min="9465" max="9465" width="14.7109375" style="22" customWidth="1"/>
    <col min="9466" max="9466" width="14" style="22" customWidth="1"/>
    <col min="9467" max="9467" width="14.42578125" style="22" customWidth="1"/>
    <col min="9468" max="9700" width="9.140625" style="22"/>
    <col min="9701" max="9709" width="0" style="22" hidden="1" customWidth="1"/>
    <col min="9710" max="9710" width="74.42578125" style="22" customWidth="1"/>
    <col min="9711" max="9717" width="0" style="22" hidden="1" customWidth="1"/>
    <col min="9718" max="9718" width="0.140625" style="22" customWidth="1"/>
    <col min="9719" max="9719" width="0" style="22" hidden="1" customWidth="1"/>
    <col min="9720" max="9720" width="13.85546875" style="22" customWidth="1"/>
    <col min="9721" max="9721" width="14.7109375" style="22" customWidth="1"/>
    <col min="9722" max="9722" width="14" style="22" customWidth="1"/>
    <col min="9723" max="9723" width="14.42578125" style="22" customWidth="1"/>
    <col min="9724" max="9956" width="9.140625" style="22"/>
    <col min="9957" max="9965" width="0" style="22" hidden="1" customWidth="1"/>
    <col min="9966" max="9966" width="74.42578125" style="22" customWidth="1"/>
    <col min="9967" max="9973" width="0" style="22" hidden="1" customWidth="1"/>
    <col min="9974" max="9974" width="0.140625" style="22" customWidth="1"/>
    <col min="9975" max="9975" width="0" style="22" hidden="1" customWidth="1"/>
    <col min="9976" max="9976" width="13.85546875" style="22" customWidth="1"/>
    <col min="9977" max="9977" width="14.7109375" style="22" customWidth="1"/>
    <col min="9978" max="9978" width="14" style="22" customWidth="1"/>
    <col min="9979" max="9979" width="14.42578125" style="22" customWidth="1"/>
    <col min="9980" max="10212" width="9.140625" style="22"/>
    <col min="10213" max="10221" width="0" style="22" hidden="1" customWidth="1"/>
    <col min="10222" max="10222" width="74.42578125" style="22" customWidth="1"/>
    <col min="10223" max="10229" width="0" style="22" hidden="1" customWidth="1"/>
    <col min="10230" max="10230" width="0.140625" style="22" customWidth="1"/>
    <col min="10231" max="10231" width="0" style="22" hidden="1" customWidth="1"/>
    <col min="10232" max="10232" width="13.85546875" style="22" customWidth="1"/>
    <col min="10233" max="10233" width="14.7109375" style="22" customWidth="1"/>
    <col min="10234" max="10234" width="14" style="22" customWidth="1"/>
    <col min="10235" max="10235" width="14.42578125" style="22" customWidth="1"/>
    <col min="10236" max="10468" width="9.140625" style="22"/>
    <col min="10469" max="10477" width="0" style="22" hidden="1" customWidth="1"/>
    <col min="10478" max="10478" width="74.42578125" style="22" customWidth="1"/>
    <col min="10479" max="10485" width="0" style="22" hidden="1" customWidth="1"/>
    <col min="10486" max="10486" width="0.140625" style="22" customWidth="1"/>
    <col min="10487" max="10487" width="0" style="22" hidden="1" customWidth="1"/>
    <col min="10488" max="10488" width="13.85546875" style="22" customWidth="1"/>
    <col min="10489" max="10489" width="14.7109375" style="22" customWidth="1"/>
    <col min="10490" max="10490" width="14" style="22" customWidth="1"/>
    <col min="10491" max="10491" width="14.42578125" style="22" customWidth="1"/>
    <col min="10492" max="10724" width="9.140625" style="22"/>
    <col min="10725" max="10733" width="0" style="22" hidden="1" customWidth="1"/>
    <col min="10734" max="10734" width="74.42578125" style="22" customWidth="1"/>
    <col min="10735" max="10741" width="0" style="22" hidden="1" customWidth="1"/>
    <col min="10742" max="10742" width="0.140625" style="22" customWidth="1"/>
    <col min="10743" max="10743" width="0" style="22" hidden="1" customWidth="1"/>
    <col min="10744" max="10744" width="13.85546875" style="22" customWidth="1"/>
    <col min="10745" max="10745" width="14.7109375" style="22" customWidth="1"/>
    <col min="10746" max="10746" width="14" style="22" customWidth="1"/>
    <col min="10747" max="10747" width="14.42578125" style="22" customWidth="1"/>
    <col min="10748" max="10980" width="9.140625" style="22"/>
    <col min="10981" max="10989" width="0" style="22" hidden="1" customWidth="1"/>
    <col min="10990" max="10990" width="74.42578125" style="22" customWidth="1"/>
    <col min="10991" max="10997" width="0" style="22" hidden="1" customWidth="1"/>
    <col min="10998" max="10998" width="0.140625" style="22" customWidth="1"/>
    <col min="10999" max="10999" width="0" style="22" hidden="1" customWidth="1"/>
    <col min="11000" max="11000" width="13.85546875" style="22" customWidth="1"/>
    <col min="11001" max="11001" width="14.7109375" style="22" customWidth="1"/>
    <col min="11002" max="11002" width="14" style="22" customWidth="1"/>
    <col min="11003" max="11003" width="14.42578125" style="22" customWidth="1"/>
    <col min="11004" max="11236" width="9.140625" style="22"/>
    <col min="11237" max="11245" width="0" style="22" hidden="1" customWidth="1"/>
    <col min="11246" max="11246" width="74.42578125" style="22" customWidth="1"/>
    <col min="11247" max="11253" width="0" style="22" hidden="1" customWidth="1"/>
    <col min="11254" max="11254" width="0.140625" style="22" customWidth="1"/>
    <col min="11255" max="11255" width="0" style="22" hidden="1" customWidth="1"/>
    <col min="11256" max="11256" width="13.85546875" style="22" customWidth="1"/>
    <col min="11257" max="11257" width="14.7109375" style="22" customWidth="1"/>
    <col min="11258" max="11258" width="14" style="22" customWidth="1"/>
    <col min="11259" max="11259" width="14.42578125" style="22" customWidth="1"/>
    <col min="11260" max="11492" width="9.140625" style="22"/>
    <col min="11493" max="11501" width="0" style="22" hidden="1" customWidth="1"/>
    <col min="11502" max="11502" width="74.42578125" style="22" customWidth="1"/>
    <col min="11503" max="11509" width="0" style="22" hidden="1" customWidth="1"/>
    <col min="11510" max="11510" width="0.140625" style="22" customWidth="1"/>
    <col min="11511" max="11511" width="0" style="22" hidden="1" customWidth="1"/>
    <col min="11512" max="11512" width="13.85546875" style="22" customWidth="1"/>
    <col min="11513" max="11513" width="14.7109375" style="22" customWidth="1"/>
    <col min="11514" max="11514" width="14" style="22" customWidth="1"/>
    <col min="11515" max="11515" width="14.42578125" style="22" customWidth="1"/>
    <col min="11516" max="11748" width="9.140625" style="22"/>
    <col min="11749" max="11757" width="0" style="22" hidden="1" customWidth="1"/>
    <col min="11758" max="11758" width="74.42578125" style="22" customWidth="1"/>
    <col min="11759" max="11765" width="0" style="22" hidden="1" customWidth="1"/>
    <col min="11766" max="11766" width="0.140625" style="22" customWidth="1"/>
    <col min="11767" max="11767" width="0" style="22" hidden="1" customWidth="1"/>
    <col min="11768" max="11768" width="13.85546875" style="22" customWidth="1"/>
    <col min="11769" max="11769" width="14.7109375" style="22" customWidth="1"/>
    <col min="11770" max="11770" width="14" style="22" customWidth="1"/>
    <col min="11771" max="11771" width="14.42578125" style="22" customWidth="1"/>
    <col min="11772" max="12004" width="9.140625" style="22"/>
    <col min="12005" max="12013" width="0" style="22" hidden="1" customWidth="1"/>
    <col min="12014" max="12014" width="74.42578125" style="22" customWidth="1"/>
    <col min="12015" max="12021" width="0" style="22" hidden="1" customWidth="1"/>
    <col min="12022" max="12022" width="0.140625" style="22" customWidth="1"/>
    <col min="12023" max="12023" width="0" style="22" hidden="1" customWidth="1"/>
    <col min="12024" max="12024" width="13.85546875" style="22" customWidth="1"/>
    <col min="12025" max="12025" width="14.7109375" style="22" customWidth="1"/>
    <col min="12026" max="12026" width="14" style="22" customWidth="1"/>
    <col min="12027" max="12027" width="14.42578125" style="22" customWidth="1"/>
    <col min="12028" max="12260" width="9.140625" style="22"/>
    <col min="12261" max="12269" width="0" style="22" hidden="1" customWidth="1"/>
    <col min="12270" max="12270" width="74.42578125" style="22" customWidth="1"/>
    <col min="12271" max="12277" width="0" style="22" hidden="1" customWidth="1"/>
    <col min="12278" max="12278" width="0.140625" style="22" customWidth="1"/>
    <col min="12279" max="12279" width="0" style="22" hidden="1" customWidth="1"/>
    <col min="12280" max="12280" width="13.85546875" style="22" customWidth="1"/>
    <col min="12281" max="12281" width="14.7109375" style="22" customWidth="1"/>
    <col min="12282" max="12282" width="14" style="22" customWidth="1"/>
    <col min="12283" max="12283" width="14.42578125" style="22" customWidth="1"/>
    <col min="12284" max="12516" width="9.140625" style="22"/>
    <col min="12517" max="12525" width="0" style="22" hidden="1" customWidth="1"/>
    <col min="12526" max="12526" width="74.42578125" style="22" customWidth="1"/>
    <col min="12527" max="12533" width="0" style="22" hidden="1" customWidth="1"/>
    <col min="12534" max="12534" width="0.140625" style="22" customWidth="1"/>
    <col min="12535" max="12535" width="0" style="22" hidden="1" customWidth="1"/>
    <col min="12536" max="12536" width="13.85546875" style="22" customWidth="1"/>
    <col min="12537" max="12537" width="14.7109375" style="22" customWidth="1"/>
    <col min="12538" max="12538" width="14" style="22" customWidth="1"/>
    <col min="12539" max="12539" width="14.42578125" style="22" customWidth="1"/>
    <col min="12540" max="12772" width="9.140625" style="22"/>
    <col min="12773" max="12781" width="0" style="22" hidden="1" customWidth="1"/>
    <col min="12782" max="12782" width="74.42578125" style="22" customWidth="1"/>
    <col min="12783" max="12789" width="0" style="22" hidden="1" customWidth="1"/>
    <col min="12790" max="12790" width="0.140625" style="22" customWidth="1"/>
    <col min="12791" max="12791" width="0" style="22" hidden="1" customWidth="1"/>
    <col min="12792" max="12792" width="13.85546875" style="22" customWidth="1"/>
    <col min="12793" max="12793" width="14.7109375" style="22" customWidth="1"/>
    <col min="12794" max="12794" width="14" style="22" customWidth="1"/>
    <col min="12795" max="12795" width="14.42578125" style="22" customWidth="1"/>
    <col min="12796" max="13028" width="9.140625" style="22"/>
    <col min="13029" max="13037" width="0" style="22" hidden="1" customWidth="1"/>
    <col min="13038" max="13038" width="74.42578125" style="22" customWidth="1"/>
    <col min="13039" max="13045" width="0" style="22" hidden="1" customWidth="1"/>
    <col min="13046" max="13046" width="0.140625" style="22" customWidth="1"/>
    <col min="13047" max="13047" width="0" style="22" hidden="1" customWidth="1"/>
    <col min="13048" max="13048" width="13.85546875" style="22" customWidth="1"/>
    <col min="13049" max="13049" width="14.7109375" style="22" customWidth="1"/>
    <col min="13050" max="13050" width="14" style="22" customWidth="1"/>
    <col min="13051" max="13051" width="14.42578125" style="22" customWidth="1"/>
    <col min="13052" max="13284" width="9.140625" style="22"/>
    <col min="13285" max="13293" width="0" style="22" hidden="1" customWidth="1"/>
    <col min="13294" max="13294" width="74.42578125" style="22" customWidth="1"/>
    <col min="13295" max="13301" width="0" style="22" hidden="1" customWidth="1"/>
    <col min="13302" max="13302" width="0.140625" style="22" customWidth="1"/>
    <col min="13303" max="13303" width="0" style="22" hidden="1" customWidth="1"/>
    <col min="13304" max="13304" width="13.85546875" style="22" customWidth="1"/>
    <col min="13305" max="13305" width="14.7109375" style="22" customWidth="1"/>
    <col min="13306" max="13306" width="14" style="22" customWidth="1"/>
    <col min="13307" max="13307" width="14.42578125" style="22" customWidth="1"/>
    <col min="13308" max="13540" width="9.140625" style="22"/>
    <col min="13541" max="13549" width="0" style="22" hidden="1" customWidth="1"/>
    <col min="13550" max="13550" width="74.42578125" style="22" customWidth="1"/>
    <col min="13551" max="13557" width="0" style="22" hidden="1" customWidth="1"/>
    <col min="13558" max="13558" width="0.140625" style="22" customWidth="1"/>
    <col min="13559" max="13559" width="0" style="22" hidden="1" customWidth="1"/>
    <col min="13560" max="13560" width="13.85546875" style="22" customWidth="1"/>
    <col min="13561" max="13561" width="14.7109375" style="22" customWidth="1"/>
    <col min="13562" max="13562" width="14" style="22" customWidth="1"/>
    <col min="13563" max="13563" width="14.42578125" style="22" customWidth="1"/>
    <col min="13564" max="13796" width="9.140625" style="22"/>
    <col min="13797" max="13805" width="0" style="22" hidden="1" customWidth="1"/>
    <col min="13806" max="13806" width="74.42578125" style="22" customWidth="1"/>
    <col min="13807" max="13813" width="0" style="22" hidden="1" customWidth="1"/>
    <col min="13814" max="13814" width="0.140625" style="22" customWidth="1"/>
    <col min="13815" max="13815" width="0" style="22" hidden="1" customWidth="1"/>
    <col min="13816" max="13816" width="13.85546875" style="22" customWidth="1"/>
    <col min="13817" max="13817" width="14.7109375" style="22" customWidth="1"/>
    <col min="13818" max="13818" width="14" style="22" customWidth="1"/>
    <col min="13819" max="13819" width="14.42578125" style="22" customWidth="1"/>
    <col min="13820" max="14052" width="9.140625" style="22"/>
    <col min="14053" max="14061" width="0" style="22" hidden="1" customWidth="1"/>
    <col min="14062" max="14062" width="74.42578125" style="22" customWidth="1"/>
    <col min="14063" max="14069" width="0" style="22" hidden="1" customWidth="1"/>
    <col min="14070" max="14070" width="0.140625" style="22" customWidth="1"/>
    <col min="14071" max="14071" width="0" style="22" hidden="1" customWidth="1"/>
    <col min="14072" max="14072" width="13.85546875" style="22" customWidth="1"/>
    <col min="14073" max="14073" width="14.7109375" style="22" customWidth="1"/>
    <col min="14074" max="14074" width="14" style="22" customWidth="1"/>
    <col min="14075" max="14075" width="14.42578125" style="22" customWidth="1"/>
    <col min="14076" max="14308" width="9.140625" style="22"/>
    <col min="14309" max="14317" width="0" style="22" hidden="1" customWidth="1"/>
    <col min="14318" max="14318" width="74.42578125" style="22" customWidth="1"/>
    <col min="14319" max="14325" width="0" style="22" hidden="1" customWidth="1"/>
    <col min="14326" max="14326" width="0.140625" style="22" customWidth="1"/>
    <col min="14327" max="14327" width="0" style="22" hidden="1" customWidth="1"/>
    <col min="14328" max="14328" width="13.85546875" style="22" customWidth="1"/>
    <col min="14329" max="14329" width="14.7109375" style="22" customWidth="1"/>
    <col min="14330" max="14330" width="14" style="22" customWidth="1"/>
    <col min="14331" max="14331" width="14.42578125" style="22" customWidth="1"/>
    <col min="14332" max="14563" width="9.140625" style="22"/>
    <col min="14564" max="14572" width="0" style="22" hidden="1" customWidth="1"/>
    <col min="14573" max="14573" width="74.42578125" style="22" customWidth="1"/>
    <col min="14574" max="14580" width="0" style="22" hidden="1" customWidth="1"/>
    <col min="14581" max="14581" width="0.140625" style="22" customWidth="1"/>
    <col min="14582" max="14582" width="0" style="22" hidden="1" customWidth="1"/>
    <col min="14583" max="14583" width="13.85546875" style="22" customWidth="1"/>
    <col min="14584" max="14584" width="14.7109375" style="22" customWidth="1"/>
    <col min="14585" max="14585" width="14" style="22" customWidth="1"/>
    <col min="14586" max="14586" width="14.42578125" style="22" customWidth="1"/>
    <col min="14587" max="14819" width="9.140625" style="22"/>
    <col min="14820" max="14828" width="0" style="22" hidden="1" customWidth="1"/>
    <col min="14829" max="14829" width="74.42578125" style="22" customWidth="1"/>
    <col min="14830" max="14836" width="0" style="22" hidden="1" customWidth="1"/>
    <col min="14837" max="14837" width="0.140625" style="22" customWidth="1"/>
    <col min="14838" max="14838" width="0" style="22" hidden="1" customWidth="1"/>
    <col min="14839" max="14839" width="13.85546875" style="22" customWidth="1"/>
    <col min="14840" max="14840" width="14.7109375" style="22" customWidth="1"/>
    <col min="14841" max="14841" width="14" style="22" customWidth="1"/>
    <col min="14842" max="14842" width="14.42578125" style="22" customWidth="1"/>
    <col min="14843" max="15075" width="9.140625" style="22"/>
    <col min="15076" max="15084" width="0" style="22" hidden="1" customWidth="1"/>
    <col min="15085" max="15085" width="74.42578125" style="22" customWidth="1"/>
    <col min="15086" max="15092" width="0" style="22" hidden="1" customWidth="1"/>
    <col min="15093" max="15093" width="0.140625" style="22" customWidth="1"/>
    <col min="15094" max="15094" width="0" style="22" hidden="1" customWidth="1"/>
    <col min="15095" max="15095" width="13.85546875" style="22" customWidth="1"/>
    <col min="15096" max="15096" width="14.7109375" style="22" customWidth="1"/>
    <col min="15097" max="15097" width="14" style="22" customWidth="1"/>
    <col min="15098" max="15098" width="14.42578125" style="22" customWidth="1"/>
    <col min="15099" max="15331" width="9.140625" style="22"/>
    <col min="15332" max="15340" width="0" style="22" hidden="1" customWidth="1"/>
    <col min="15341" max="15341" width="74.42578125" style="22" customWidth="1"/>
    <col min="15342" max="15348" width="0" style="22" hidden="1" customWidth="1"/>
    <col min="15349" max="15349" width="0.140625" style="22" customWidth="1"/>
    <col min="15350" max="15350" width="0" style="22" hidden="1" customWidth="1"/>
    <col min="15351" max="15351" width="13.85546875" style="22" customWidth="1"/>
    <col min="15352" max="15352" width="14.7109375" style="22" customWidth="1"/>
    <col min="15353" max="15353" width="14" style="22" customWidth="1"/>
    <col min="15354" max="15354" width="14.42578125" style="22" customWidth="1"/>
    <col min="15355" max="15587" width="9.140625" style="22"/>
    <col min="15588" max="15596" width="0" style="22" hidden="1" customWidth="1"/>
    <col min="15597" max="15597" width="74.42578125" style="22" customWidth="1"/>
    <col min="15598" max="15604" width="0" style="22" hidden="1" customWidth="1"/>
    <col min="15605" max="15605" width="0.140625" style="22" customWidth="1"/>
    <col min="15606" max="15606" width="0" style="22" hidden="1" customWidth="1"/>
    <col min="15607" max="15607" width="13.85546875" style="22" customWidth="1"/>
    <col min="15608" max="15608" width="14.7109375" style="22" customWidth="1"/>
    <col min="15609" max="15609" width="14" style="22" customWidth="1"/>
    <col min="15610" max="15610" width="14.42578125" style="22" customWidth="1"/>
    <col min="15611" max="15843" width="9.140625" style="22"/>
    <col min="15844" max="15852" width="0" style="22" hidden="1" customWidth="1"/>
    <col min="15853" max="15853" width="74.42578125" style="22" customWidth="1"/>
    <col min="15854" max="15860" width="0" style="22" hidden="1" customWidth="1"/>
    <col min="15861" max="15861" width="0.140625" style="22" customWidth="1"/>
    <col min="15862" max="15862" width="0" style="22" hidden="1" customWidth="1"/>
    <col min="15863" max="15863" width="13.85546875" style="22" customWidth="1"/>
    <col min="15864" max="15864" width="14.7109375" style="22" customWidth="1"/>
    <col min="15865" max="15865" width="14" style="22" customWidth="1"/>
    <col min="15866" max="15866" width="14.42578125" style="22" customWidth="1"/>
    <col min="15867" max="16099" width="9.140625" style="22"/>
    <col min="16100" max="16108" width="0" style="22" hidden="1" customWidth="1"/>
    <col min="16109" max="16109" width="74.42578125" style="22" customWidth="1"/>
    <col min="16110" max="16116" width="0" style="22" hidden="1" customWidth="1"/>
    <col min="16117" max="16117" width="0.140625" style="22" customWidth="1"/>
    <col min="16118" max="16118" width="0" style="22" hidden="1" customWidth="1"/>
    <col min="16119" max="16119" width="13.85546875" style="22" customWidth="1"/>
    <col min="16120" max="16120" width="14.7109375" style="22" customWidth="1"/>
    <col min="16121" max="16121" width="14" style="22" customWidth="1"/>
    <col min="16122" max="16122" width="14.42578125" style="22" customWidth="1"/>
    <col min="16123" max="16384" width="9.140625" style="22"/>
  </cols>
  <sheetData>
    <row r="1" spans="1:11" ht="44.25" customHeight="1">
      <c r="A1" s="574" t="s">
        <v>523</v>
      </c>
      <c r="B1" s="574"/>
      <c r="C1" s="574"/>
      <c r="D1" s="574"/>
      <c r="E1" s="574"/>
      <c r="G1" s="317" t="s">
        <v>253</v>
      </c>
      <c r="K1" s="148"/>
    </row>
    <row r="2" spans="1:11" s="72" customFormat="1" ht="12" customHeight="1">
      <c r="A2" s="71"/>
      <c r="B2" s="71"/>
    </row>
    <row r="3" spans="1:11" s="23" customFormat="1" ht="18" customHeight="1">
      <c r="A3" s="71"/>
      <c r="B3" s="71"/>
      <c r="C3" s="72"/>
      <c r="D3" s="72"/>
      <c r="E3" s="72"/>
      <c r="F3" s="72"/>
      <c r="G3" s="73" t="s">
        <v>121</v>
      </c>
    </row>
    <row r="4" spans="1:11" s="23" customFormat="1" ht="18" customHeight="1">
      <c r="A4" s="166"/>
      <c r="B4" s="318" t="s">
        <v>202</v>
      </c>
      <c r="C4" s="318" t="s">
        <v>203</v>
      </c>
      <c r="D4" s="319" t="s">
        <v>209</v>
      </c>
      <c r="E4" s="320" t="s">
        <v>382</v>
      </c>
      <c r="F4" s="319" t="s">
        <v>413</v>
      </c>
      <c r="G4" s="319" t="s">
        <v>472</v>
      </c>
    </row>
    <row r="5" spans="1:11" s="23" customFormat="1" ht="18" customHeight="1">
      <c r="A5" s="167"/>
      <c r="B5" s="321" t="s">
        <v>54</v>
      </c>
      <c r="C5" s="321" t="s">
        <v>54</v>
      </c>
      <c r="D5" s="322" t="s">
        <v>3</v>
      </c>
      <c r="E5" s="323" t="s">
        <v>55</v>
      </c>
      <c r="F5" s="322" t="s">
        <v>56</v>
      </c>
      <c r="G5" s="322" t="s">
        <v>56</v>
      </c>
    </row>
    <row r="6" spans="1:11" s="23" customFormat="1" ht="15.75">
      <c r="A6" s="168" t="s">
        <v>72</v>
      </c>
      <c r="B6" s="324">
        <v>940446</v>
      </c>
      <c r="C6" s="324">
        <f>C7+C66</f>
        <v>920994</v>
      </c>
      <c r="D6" s="324">
        <f>D7+D66</f>
        <v>2680081</v>
      </c>
      <c r="E6" s="324">
        <f>E7+E66</f>
        <v>1499385</v>
      </c>
      <c r="F6" s="324">
        <f t="shared" ref="F6:G6" si="0">F7+F66</f>
        <v>1104208</v>
      </c>
      <c r="G6" s="324">
        <f t="shared" si="0"/>
        <v>826068</v>
      </c>
    </row>
    <row r="7" spans="1:11" s="74" customFormat="1" ht="31.5" customHeight="1">
      <c r="A7" s="169" t="s">
        <v>272</v>
      </c>
      <c r="B7" s="324">
        <v>943111</v>
      </c>
      <c r="C7" s="324">
        <f t="shared" ref="C7:G7" si="1">C8+C49</f>
        <v>931325</v>
      </c>
      <c r="D7" s="324">
        <f>D8+D49</f>
        <v>2680081</v>
      </c>
      <c r="E7" s="324">
        <f>E8+E49</f>
        <v>1499385</v>
      </c>
      <c r="F7" s="324">
        <f>F8+F49</f>
        <v>1104208</v>
      </c>
      <c r="G7" s="324">
        <f t="shared" si="1"/>
        <v>826068</v>
      </c>
    </row>
    <row r="8" spans="1:11" s="74" customFormat="1" ht="14.25">
      <c r="A8" s="170" t="s">
        <v>354</v>
      </c>
      <c r="B8" s="325">
        <v>7991455</v>
      </c>
      <c r="C8" s="325">
        <f>C9+C13+C17+C21+C24+C26+C27+C30+C33+C47</f>
        <v>8830506</v>
      </c>
      <c r="D8" s="325">
        <f>D9+D13+D17+D21+D24+D26+D27+D30+D33+D47</f>
        <v>11504616</v>
      </c>
      <c r="E8" s="325">
        <f t="shared" ref="E8:G8" si="2">E9+E13+E17+E21+E24+E26+E27+E30+E33+E47</f>
        <v>11324923</v>
      </c>
      <c r="F8" s="325">
        <f t="shared" si="2"/>
        <v>11830752</v>
      </c>
      <c r="G8" s="325">
        <f t="shared" si="2"/>
        <v>12431456</v>
      </c>
    </row>
    <row r="9" spans="1:11" s="74" customFormat="1" ht="14.25">
      <c r="A9" s="171" t="s">
        <v>355</v>
      </c>
      <c r="B9" s="326">
        <v>3022278</v>
      </c>
      <c r="C9" s="326">
        <f t="shared" ref="C9:G9" si="3">C10+C11+C12</f>
        <v>3304018</v>
      </c>
      <c r="D9" s="327">
        <f t="shared" si="3"/>
        <v>3621157</v>
      </c>
      <c r="E9" s="327">
        <f t="shared" si="3"/>
        <v>3905571</v>
      </c>
      <c r="F9" s="327">
        <f t="shared" si="3"/>
        <v>4171872</v>
      </c>
      <c r="G9" s="327">
        <f t="shared" si="3"/>
        <v>4407425</v>
      </c>
    </row>
    <row r="10" spans="1:11" s="74" customFormat="1" ht="15">
      <c r="A10" s="172" t="s">
        <v>395</v>
      </c>
      <c r="B10" s="247">
        <v>39203</v>
      </c>
      <c r="C10" s="328">
        <v>42956</v>
      </c>
      <c r="D10" s="247">
        <v>48152</v>
      </c>
      <c r="E10" s="247">
        <v>79703</v>
      </c>
      <c r="F10" s="247">
        <v>104703</v>
      </c>
      <c r="G10" s="247">
        <v>104703</v>
      </c>
    </row>
    <row r="11" spans="1:11" s="74" customFormat="1" ht="15.75" customHeight="1">
      <c r="A11" s="172" t="s">
        <v>396</v>
      </c>
      <c r="B11" s="247">
        <v>2877511</v>
      </c>
      <c r="C11" s="328">
        <v>3145737</v>
      </c>
      <c r="D11" s="247">
        <v>3439774</v>
      </c>
      <c r="E11" s="247">
        <v>3683184</v>
      </c>
      <c r="F11" s="247">
        <v>3917197</v>
      </c>
      <c r="G11" s="247">
        <v>4146135</v>
      </c>
    </row>
    <row r="12" spans="1:11" s="74" customFormat="1" ht="15.75" customHeight="1">
      <c r="A12" s="172" t="s">
        <v>397</v>
      </c>
      <c r="B12" s="247">
        <v>105564</v>
      </c>
      <c r="C12" s="328">
        <v>115325</v>
      </c>
      <c r="D12" s="247">
        <v>133231</v>
      </c>
      <c r="E12" s="247">
        <v>142684</v>
      </c>
      <c r="F12" s="247">
        <v>149972</v>
      </c>
      <c r="G12" s="247">
        <v>156587</v>
      </c>
    </row>
    <row r="13" spans="1:11" s="74" customFormat="1" ht="15.75" customHeight="1">
      <c r="A13" s="173" t="s">
        <v>398</v>
      </c>
      <c r="B13" s="329">
        <v>676360</v>
      </c>
      <c r="C13" s="329">
        <f t="shared" ref="C13:G13" si="4">C14+C15+C16</f>
        <v>742824</v>
      </c>
      <c r="D13" s="255">
        <f t="shared" si="4"/>
        <v>813019</v>
      </c>
      <c r="E13" s="255">
        <f t="shared" si="4"/>
        <v>870618</v>
      </c>
      <c r="F13" s="255">
        <f t="shared" si="4"/>
        <v>925675</v>
      </c>
      <c r="G13" s="255">
        <f t="shared" si="4"/>
        <v>979546</v>
      </c>
    </row>
    <row r="14" spans="1:11" s="74" customFormat="1" ht="15.75" customHeight="1">
      <c r="A14" s="172" t="s">
        <v>399</v>
      </c>
      <c r="B14" s="247">
        <v>401</v>
      </c>
      <c r="C14" s="328">
        <v>496</v>
      </c>
      <c r="D14" s="247">
        <v>468</v>
      </c>
      <c r="E14" s="247">
        <v>505</v>
      </c>
      <c r="F14" s="247">
        <v>505</v>
      </c>
      <c r="G14" s="247">
        <v>505</v>
      </c>
    </row>
    <row r="15" spans="1:11" s="74" customFormat="1" ht="15.75" customHeight="1">
      <c r="A15" s="172" t="s">
        <v>400</v>
      </c>
      <c r="B15" s="247">
        <v>654780</v>
      </c>
      <c r="C15" s="328">
        <v>719250</v>
      </c>
      <c r="D15" s="247">
        <v>782908</v>
      </c>
      <c r="E15" s="247">
        <v>838300</v>
      </c>
      <c r="F15" s="247">
        <v>891616</v>
      </c>
      <c r="G15" s="247">
        <v>943776</v>
      </c>
    </row>
    <row r="16" spans="1:11" s="74" customFormat="1" ht="15.75" customHeight="1">
      <c r="A16" s="172" t="s">
        <v>401</v>
      </c>
      <c r="B16" s="247">
        <v>21179</v>
      </c>
      <c r="C16" s="328">
        <v>23078</v>
      </c>
      <c r="D16" s="247">
        <v>29643</v>
      </c>
      <c r="E16" s="247">
        <v>31813</v>
      </c>
      <c r="F16" s="247">
        <v>33554</v>
      </c>
      <c r="G16" s="247">
        <v>35265</v>
      </c>
    </row>
    <row r="17" spans="1:7" s="74" customFormat="1" ht="15.75" customHeight="1">
      <c r="A17" s="173" t="s">
        <v>402</v>
      </c>
      <c r="B17" s="329">
        <v>614783</v>
      </c>
      <c r="C17" s="329">
        <f t="shared" ref="C17:G17" si="5">C18+C19+C20</f>
        <v>674102</v>
      </c>
      <c r="D17" s="255">
        <f t="shared" si="5"/>
        <v>735979</v>
      </c>
      <c r="E17" s="255">
        <f t="shared" si="5"/>
        <v>788120</v>
      </c>
      <c r="F17" s="255">
        <f t="shared" si="5"/>
        <v>837932</v>
      </c>
      <c r="G17" s="255">
        <f t="shared" si="5"/>
        <v>886671</v>
      </c>
    </row>
    <row r="18" spans="1:7" s="74" customFormat="1" ht="15.75" customHeight="1">
      <c r="A18" s="172" t="s">
        <v>403</v>
      </c>
      <c r="B18" s="247">
        <v>348</v>
      </c>
      <c r="C18" s="328">
        <v>430</v>
      </c>
      <c r="D18" s="247">
        <v>426</v>
      </c>
      <c r="E18" s="247">
        <v>460</v>
      </c>
      <c r="F18" s="247">
        <v>460</v>
      </c>
      <c r="G18" s="247">
        <v>460</v>
      </c>
    </row>
    <row r="19" spans="1:7" s="74" customFormat="1" ht="15.75" customHeight="1">
      <c r="A19" s="172" t="s">
        <v>404</v>
      </c>
      <c r="B19" s="247">
        <v>595253</v>
      </c>
      <c r="C19" s="328">
        <v>652735</v>
      </c>
      <c r="D19" s="247">
        <v>712839</v>
      </c>
      <c r="E19" s="247">
        <v>763280</v>
      </c>
      <c r="F19" s="247">
        <v>811774</v>
      </c>
      <c r="G19" s="247">
        <v>859215</v>
      </c>
    </row>
    <row r="20" spans="1:7" s="74" customFormat="1" ht="15.75" customHeight="1">
      <c r="A20" s="172" t="s">
        <v>405</v>
      </c>
      <c r="B20" s="247">
        <v>19182</v>
      </c>
      <c r="C20" s="328">
        <v>20937</v>
      </c>
      <c r="D20" s="247">
        <v>22714</v>
      </c>
      <c r="E20" s="247">
        <v>24380</v>
      </c>
      <c r="F20" s="247">
        <v>25698</v>
      </c>
      <c r="G20" s="247">
        <v>26996</v>
      </c>
    </row>
    <row r="21" spans="1:7" s="74" customFormat="1" ht="14.25">
      <c r="A21" s="173" t="s">
        <v>406</v>
      </c>
      <c r="B21" s="329">
        <v>451697</v>
      </c>
      <c r="C21" s="329">
        <f t="shared" ref="C21:G21" si="6">C22+C23</f>
        <v>491492</v>
      </c>
      <c r="D21" s="255">
        <f t="shared" si="6"/>
        <v>528780</v>
      </c>
      <c r="E21" s="255">
        <f t="shared" si="6"/>
        <v>562134</v>
      </c>
      <c r="F21" s="255">
        <f t="shared" si="6"/>
        <v>597232</v>
      </c>
      <c r="G21" s="255">
        <f t="shared" si="6"/>
        <v>631568</v>
      </c>
    </row>
    <row r="22" spans="1:7" s="74" customFormat="1" ht="15.75" customHeight="1">
      <c r="A22" s="172" t="s">
        <v>407</v>
      </c>
      <c r="B22" s="247">
        <v>450998</v>
      </c>
      <c r="C22" s="328">
        <v>491111</v>
      </c>
      <c r="D22" s="247">
        <v>526775</v>
      </c>
      <c r="E22" s="247">
        <v>559970</v>
      </c>
      <c r="F22" s="247">
        <v>595068</v>
      </c>
      <c r="G22" s="247">
        <v>629404</v>
      </c>
    </row>
    <row r="23" spans="1:7" s="74" customFormat="1" ht="15.75" customHeight="1">
      <c r="A23" s="172" t="s">
        <v>408</v>
      </c>
      <c r="B23" s="247">
        <v>699</v>
      </c>
      <c r="C23" s="328">
        <v>381</v>
      </c>
      <c r="D23" s="247">
        <v>2005</v>
      </c>
      <c r="E23" s="247">
        <v>2164</v>
      </c>
      <c r="F23" s="247">
        <v>2164</v>
      </c>
      <c r="G23" s="247">
        <v>2164</v>
      </c>
    </row>
    <row r="24" spans="1:7" s="74" customFormat="1" ht="31.5" customHeight="1">
      <c r="A24" s="173" t="s">
        <v>356</v>
      </c>
      <c r="B24" s="329">
        <v>51148</v>
      </c>
      <c r="C24" s="329">
        <f t="shared" ref="C24:G24" si="7">C25</f>
        <v>55150</v>
      </c>
      <c r="D24" s="255">
        <f>D25</f>
        <v>64462</v>
      </c>
      <c r="E24" s="255">
        <f>E25</f>
        <v>68929</v>
      </c>
      <c r="F24" s="255">
        <f t="shared" si="7"/>
        <v>73216</v>
      </c>
      <c r="G24" s="255">
        <f t="shared" si="7"/>
        <v>77410</v>
      </c>
    </row>
    <row r="25" spans="1:7" s="23" customFormat="1" ht="19.5" customHeight="1">
      <c r="A25" s="172" t="s">
        <v>409</v>
      </c>
      <c r="B25" s="247">
        <v>51148</v>
      </c>
      <c r="C25" s="328">
        <v>55150</v>
      </c>
      <c r="D25" s="247">
        <v>64462</v>
      </c>
      <c r="E25" s="247">
        <v>68929</v>
      </c>
      <c r="F25" s="247">
        <v>73216</v>
      </c>
      <c r="G25" s="247">
        <v>77410</v>
      </c>
    </row>
    <row r="26" spans="1:7" s="23" customFormat="1" ht="22.5" customHeight="1">
      <c r="A26" s="169" t="s">
        <v>357</v>
      </c>
      <c r="B26" s="255">
        <v>1</v>
      </c>
      <c r="C26" s="329">
        <v>4</v>
      </c>
      <c r="D26" s="255">
        <v>6</v>
      </c>
      <c r="E26" s="255">
        <v>7</v>
      </c>
      <c r="F26" s="255">
        <v>7</v>
      </c>
      <c r="G26" s="255">
        <v>7</v>
      </c>
    </row>
    <row r="27" spans="1:7" s="23" customFormat="1" ht="19.5" customHeight="1">
      <c r="A27" s="170" t="s">
        <v>254</v>
      </c>
      <c r="B27" s="329">
        <v>829</v>
      </c>
      <c r="C27" s="329">
        <f>C28+C29</f>
        <v>789</v>
      </c>
      <c r="D27" s="329">
        <f t="shared" ref="D27:G27" si="8">D28+D29</f>
        <v>839</v>
      </c>
      <c r="E27" s="329">
        <f t="shared" si="8"/>
        <v>840</v>
      </c>
      <c r="F27" s="329">
        <f t="shared" si="8"/>
        <v>840</v>
      </c>
      <c r="G27" s="329">
        <f t="shared" si="8"/>
        <v>840</v>
      </c>
    </row>
    <row r="28" spans="1:7" s="74" customFormat="1" ht="32.25" customHeight="1">
      <c r="A28" s="174" t="s">
        <v>421</v>
      </c>
      <c r="B28" s="247">
        <v>753</v>
      </c>
      <c r="C28" s="328">
        <v>704</v>
      </c>
      <c r="D28" s="247">
        <v>776</v>
      </c>
      <c r="E28" s="247">
        <v>777</v>
      </c>
      <c r="F28" s="247">
        <v>777</v>
      </c>
      <c r="G28" s="247">
        <v>777</v>
      </c>
    </row>
    <row r="29" spans="1:7" s="74" customFormat="1" ht="26.25" customHeight="1">
      <c r="A29" s="175" t="s">
        <v>422</v>
      </c>
      <c r="B29" s="247">
        <v>76</v>
      </c>
      <c r="C29" s="328">
        <v>85</v>
      </c>
      <c r="D29" s="247">
        <v>63</v>
      </c>
      <c r="E29" s="247">
        <v>63</v>
      </c>
      <c r="F29" s="247">
        <v>63</v>
      </c>
      <c r="G29" s="247">
        <v>63</v>
      </c>
    </row>
    <row r="30" spans="1:7" s="74" customFormat="1" ht="36.75" customHeight="1">
      <c r="A30" s="169" t="s">
        <v>358</v>
      </c>
      <c r="B30" s="329">
        <v>3050212</v>
      </c>
      <c r="C30" s="329">
        <f>C31+C32</f>
        <v>3438344</v>
      </c>
      <c r="D30" s="255">
        <f t="shared" ref="D30:G30" si="9">D31+D32</f>
        <v>3830395</v>
      </c>
      <c r="E30" s="255">
        <f t="shared" si="9"/>
        <v>4332486</v>
      </c>
      <c r="F30" s="255">
        <f t="shared" si="9"/>
        <v>4738555</v>
      </c>
      <c r="G30" s="255">
        <f t="shared" si="9"/>
        <v>5132228</v>
      </c>
    </row>
    <row r="31" spans="1:7" s="74" customFormat="1" ht="33.75" customHeight="1">
      <c r="A31" s="174" t="s">
        <v>255</v>
      </c>
      <c r="B31" s="247">
        <v>3050182</v>
      </c>
      <c r="C31" s="328">
        <v>3436075</v>
      </c>
      <c r="D31" s="247">
        <v>3824523</v>
      </c>
      <c r="E31" s="247">
        <v>4326907</v>
      </c>
      <c r="F31" s="247">
        <v>4735369</v>
      </c>
      <c r="G31" s="247">
        <v>5128854</v>
      </c>
    </row>
    <row r="32" spans="1:7" s="74" customFormat="1" ht="31.5" customHeight="1">
      <c r="A32" s="174" t="s">
        <v>410</v>
      </c>
      <c r="B32" s="247">
        <v>30</v>
      </c>
      <c r="C32" s="328">
        <v>2269</v>
      </c>
      <c r="D32" s="247">
        <v>5872</v>
      </c>
      <c r="E32" s="247">
        <v>5579</v>
      </c>
      <c r="F32" s="247">
        <v>3186</v>
      </c>
      <c r="G32" s="247">
        <v>3374</v>
      </c>
    </row>
    <row r="33" spans="1:7" s="74" customFormat="1" ht="26.25" customHeight="1">
      <c r="A33" s="169" t="s">
        <v>359</v>
      </c>
      <c r="B33" s="255">
        <v>124147</v>
      </c>
      <c r="C33" s="329">
        <f t="shared" ref="C33:G33" si="10">C34+C41</f>
        <v>123783</v>
      </c>
      <c r="D33" s="255">
        <f t="shared" si="10"/>
        <v>129979</v>
      </c>
      <c r="E33" s="255">
        <f t="shared" si="10"/>
        <v>199218</v>
      </c>
      <c r="F33" s="255">
        <f t="shared" si="10"/>
        <v>261423</v>
      </c>
      <c r="G33" s="255">
        <f t="shared" si="10"/>
        <v>315761</v>
      </c>
    </row>
    <row r="34" spans="1:7" s="74" customFormat="1" ht="33.75" customHeight="1">
      <c r="A34" s="174" t="s">
        <v>256</v>
      </c>
      <c r="B34" s="330">
        <v>13545</v>
      </c>
      <c r="C34" s="330">
        <f t="shared" ref="C34:F34" si="11">C35+C36+C37+C38+C39+C40</f>
        <v>15698</v>
      </c>
      <c r="D34" s="330">
        <f t="shared" si="11"/>
        <v>16968</v>
      </c>
      <c r="E34" s="330">
        <f t="shared" si="11"/>
        <v>17118</v>
      </c>
      <c r="F34" s="330">
        <f t="shared" si="11"/>
        <v>17923</v>
      </c>
      <c r="G34" s="330">
        <f>G35+G36+G37+G38+G39+G40</f>
        <v>18861</v>
      </c>
    </row>
    <row r="35" spans="1:7" s="74" customFormat="1" ht="20.25" customHeight="1">
      <c r="A35" s="174" t="s">
        <v>360</v>
      </c>
      <c r="B35" s="330">
        <v>924</v>
      </c>
      <c r="C35" s="330">
        <v>1057</v>
      </c>
      <c r="D35" s="330">
        <v>1078</v>
      </c>
      <c r="E35" s="330">
        <v>615</v>
      </c>
      <c r="F35" s="330">
        <v>599</v>
      </c>
      <c r="G35" s="330">
        <v>628</v>
      </c>
    </row>
    <row r="36" spans="1:7" s="74" customFormat="1" ht="21" customHeight="1">
      <c r="A36" s="174" t="s">
        <v>257</v>
      </c>
      <c r="B36" s="330">
        <v>2954</v>
      </c>
      <c r="C36" s="330">
        <v>3487</v>
      </c>
      <c r="D36" s="330">
        <v>3928</v>
      </c>
      <c r="E36" s="330">
        <v>4237</v>
      </c>
      <c r="F36" s="330">
        <v>4505</v>
      </c>
      <c r="G36" s="330">
        <v>4752</v>
      </c>
    </row>
    <row r="37" spans="1:7" s="74" customFormat="1" ht="17.25" customHeight="1">
      <c r="A37" s="174" t="s">
        <v>258</v>
      </c>
      <c r="B37" s="330">
        <v>257</v>
      </c>
      <c r="C37" s="330">
        <v>307</v>
      </c>
      <c r="D37" s="330">
        <v>357</v>
      </c>
      <c r="E37" s="330">
        <v>388</v>
      </c>
      <c r="F37" s="330">
        <v>416</v>
      </c>
      <c r="G37" s="330">
        <v>441</v>
      </c>
    </row>
    <row r="38" spans="1:7" s="74" customFormat="1" ht="21.75" customHeight="1">
      <c r="A38" s="174" t="s">
        <v>361</v>
      </c>
      <c r="B38" s="330">
        <v>257</v>
      </c>
      <c r="C38" s="330">
        <v>287</v>
      </c>
      <c r="D38" s="330">
        <v>319</v>
      </c>
      <c r="E38" s="330">
        <v>345</v>
      </c>
      <c r="F38" s="330">
        <v>370</v>
      </c>
      <c r="G38" s="330">
        <v>392</v>
      </c>
    </row>
    <row r="39" spans="1:7" s="75" customFormat="1" ht="15" customHeight="1">
      <c r="A39" s="174" t="s">
        <v>383</v>
      </c>
      <c r="B39" s="330">
        <v>412</v>
      </c>
      <c r="C39" s="330">
        <v>479</v>
      </c>
      <c r="D39" s="330">
        <v>521</v>
      </c>
      <c r="E39" s="330">
        <v>556</v>
      </c>
      <c r="F39" s="330">
        <v>589</v>
      </c>
      <c r="G39" s="330">
        <v>644</v>
      </c>
    </row>
    <row r="40" spans="1:7" s="75" customFormat="1" ht="15" customHeight="1">
      <c r="A40" s="174" t="s">
        <v>259</v>
      </c>
      <c r="B40" s="330">
        <v>8741</v>
      </c>
      <c r="C40" s="330">
        <v>10081</v>
      </c>
      <c r="D40" s="330">
        <v>10765</v>
      </c>
      <c r="E40" s="330">
        <v>10977</v>
      </c>
      <c r="F40" s="330">
        <v>11444</v>
      </c>
      <c r="G40" s="330">
        <v>12004</v>
      </c>
    </row>
    <row r="41" spans="1:7" s="75" customFormat="1" ht="15" customHeight="1">
      <c r="A41" s="174" t="s">
        <v>260</v>
      </c>
      <c r="B41" s="330">
        <v>110602</v>
      </c>
      <c r="C41" s="330">
        <f>C42+C43+C44</f>
        <v>108085</v>
      </c>
      <c r="D41" s="330">
        <f>D42+D43+D44</f>
        <v>113011</v>
      </c>
      <c r="E41" s="330">
        <f t="shared" ref="E41:G41" si="12">E42+E43+E44</f>
        <v>182100</v>
      </c>
      <c r="F41" s="330">
        <f t="shared" si="12"/>
        <v>243500</v>
      </c>
      <c r="G41" s="330">
        <f t="shared" si="12"/>
        <v>296900</v>
      </c>
    </row>
    <row r="42" spans="1:7" s="75" customFormat="1" ht="42" customHeight="1">
      <c r="A42" s="174" t="s">
        <v>261</v>
      </c>
      <c r="B42" s="330">
        <v>32341</v>
      </c>
      <c r="C42" s="330">
        <v>23642</v>
      </c>
      <c r="D42" s="330">
        <v>94300</v>
      </c>
      <c r="E42" s="330">
        <v>165900</v>
      </c>
      <c r="F42" s="330">
        <v>227300</v>
      </c>
      <c r="G42" s="330">
        <v>280700</v>
      </c>
    </row>
    <row r="43" spans="1:7" s="23" customFormat="1" ht="33.75" customHeight="1">
      <c r="A43" s="174" t="s">
        <v>362</v>
      </c>
      <c r="B43" s="330">
        <v>39602</v>
      </c>
      <c r="C43" s="330">
        <v>45893</v>
      </c>
      <c r="D43" s="330">
        <v>0</v>
      </c>
      <c r="E43" s="330">
        <v>0</v>
      </c>
      <c r="F43" s="330">
        <v>0</v>
      </c>
      <c r="G43" s="330">
        <v>0</v>
      </c>
    </row>
    <row r="44" spans="1:7" s="23" customFormat="1" ht="15">
      <c r="A44" s="174" t="s">
        <v>525</v>
      </c>
      <c r="B44" s="330">
        <f t="shared" ref="B44:F44" si="13">B45+B46</f>
        <v>38659</v>
      </c>
      <c r="C44" s="330">
        <f t="shared" si="13"/>
        <v>38550</v>
      </c>
      <c r="D44" s="330">
        <f t="shared" si="13"/>
        <v>18711</v>
      </c>
      <c r="E44" s="330">
        <f t="shared" si="13"/>
        <v>16200</v>
      </c>
      <c r="F44" s="330">
        <f t="shared" si="13"/>
        <v>16200</v>
      </c>
      <c r="G44" s="330">
        <f>G45+G46</f>
        <v>16200</v>
      </c>
    </row>
    <row r="45" spans="1:7" s="23" customFormat="1" ht="15">
      <c r="A45" s="174" t="s">
        <v>526</v>
      </c>
      <c r="B45" s="330">
        <v>38659</v>
      </c>
      <c r="C45" s="330">
        <v>38550</v>
      </c>
      <c r="D45" s="330">
        <v>18511</v>
      </c>
      <c r="E45" s="330">
        <v>16000</v>
      </c>
      <c r="F45" s="330">
        <v>16000</v>
      </c>
      <c r="G45" s="330">
        <v>16000</v>
      </c>
    </row>
    <row r="46" spans="1:7" s="23" customFormat="1" ht="15">
      <c r="A46" s="174" t="s">
        <v>524</v>
      </c>
      <c r="B46" s="330"/>
      <c r="C46" s="330"/>
      <c r="D46" s="330">
        <v>200</v>
      </c>
      <c r="E46" s="330">
        <v>200</v>
      </c>
      <c r="F46" s="330">
        <v>200</v>
      </c>
      <c r="G46" s="330">
        <v>200</v>
      </c>
    </row>
    <row r="47" spans="1:7" s="23" customFormat="1" ht="18.75" customHeight="1">
      <c r="A47" s="176" t="s">
        <v>363</v>
      </c>
      <c r="B47" s="331"/>
      <c r="C47" s="332"/>
      <c r="D47" s="149">
        <v>1780000</v>
      </c>
      <c r="E47" s="149">
        <v>597000</v>
      </c>
      <c r="F47" s="149">
        <v>224000</v>
      </c>
      <c r="G47" s="149"/>
    </row>
    <row r="48" spans="1:7" s="23" customFormat="1" ht="18.75" customHeight="1">
      <c r="A48" s="176" t="s">
        <v>364</v>
      </c>
      <c r="B48" s="331"/>
      <c r="C48" s="332"/>
      <c r="D48" s="149"/>
      <c r="E48" s="149"/>
      <c r="F48" s="149"/>
      <c r="G48" s="149"/>
    </row>
    <row r="49" spans="1:7" s="23" customFormat="1" ht="15.75" customHeight="1">
      <c r="A49" s="170" t="s">
        <v>273</v>
      </c>
      <c r="B49" s="76">
        <v>-7048344</v>
      </c>
      <c r="C49" s="76">
        <f>C50+C51+C52+C53+C56+C57+C58</f>
        <v>-7899181</v>
      </c>
      <c r="D49" s="76">
        <f t="shared" ref="D49:G49" si="14">D50+D51+D52+D53+D56+D57+D58</f>
        <v>-8824535</v>
      </c>
      <c r="E49" s="76">
        <f t="shared" si="14"/>
        <v>-9825538</v>
      </c>
      <c r="F49" s="76">
        <f t="shared" si="14"/>
        <v>-10726544</v>
      </c>
      <c r="G49" s="76">
        <f t="shared" si="14"/>
        <v>-11605388</v>
      </c>
    </row>
    <row r="50" spans="1:7" s="23" customFormat="1" ht="15.75" customHeight="1">
      <c r="A50" s="175" t="s">
        <v>73</v>
      </c>
      <c r="B50" s="333">
        <v>-5459558</v>
      </c>
      <c r="C50" s="332">
        <v>-6146280</v>
      </c>
      <c r="D50" s="149">
        <v>-6917843</v>
      </c>
      <c r="E50" s="332">
        <v>-7799262</v>
      </c>
      <c r="F50" s="332">
        <v>-8573410</v>
      </c>
      <c r="G50" s="332">
        <v>-9323129</v>
      </c>
    </row>
    <row r="51" spans="1:7" s="23" customFormat="1" ht="15.75" customHeight="1">
      <c r="A51" s="170" t="s">
        <v>426</v>
      </c>
      <c r="B51" s="333">
        <v>-505025</v>
      </c>
      <c r="C51" s="332">
        <v>-574791</v>
      </c>
      <c r="D51" s="332">
        <v>-637984</v>
      </c>
      <c r="E51" s="332">
        <v>-684646</v>
      </c>
      <c r="F51" s="332">
        <v>-728352</v>
      </c>
      <c r="G51" s="332">
        <v>-771097</v>
      </c>
    </row>
    <row r="52" spans="1:7" s="23" customFormat="1" ht="15.75" customHeight="1">
      <c r="A52" s="170" t="s">
        <v>427</v>
      </c>
      <c r="B52" s="333">
        <v>-458231</v>
      </c>
      <c r="C52" s="332">
        <v>-453507</v>
      </c>
      <c r="D52" s="332">
        <v>-489715</v>
      </c>
      <c r="E52" s="332">
        <v>-523151</v>
      </c>
      <c r="F52" s="332">
        <v>-557135</v>
      </c>
      <c r="G52" s="332">
        <v>-590562</v>
      </c>
    </row>
    <row r="53" spans="1:7" s="23" customFormat="1" ht="15.75" customHeight="1">
      <c r="A53" s="175" t="s">
        <v>89</v>
      </c>
      <c r="B53" s="332">
        <v>-470462</v>
      </c>
      <c r="C53" s="332">
        <f t="shared" ref="C53:G53" si="15">C54+C55</f>
        <v>-551133</v>
      </c>
      <c r="D53" s="332">
        <f t="shared" si="15"/>
        <v>-590478</v>
      </c>
      <c r="E53" s="332">
        <f t="shared" si="15"/>
        <v>-611886</v>
      </c>
      <c r="F53" s="332">
        <f t="shared" si="15"/>
        <v>-646767</v>
      </c>
      <c r="G53" s="332">
        <f t="shared" si="15"/>
        <v>-685574</v>
      </c>
    </row>
    <row r="54" spans="1:7" s="23" customFormat="1" ht="15.75" customHeight="1">
      <c r="A54" s="175" t="s">
        <v>90</v>
      </c>
      <c r="B54" s="333">
        <v>-470462</v>
      </c>
      <c r="C54" s="332">
        <v>-551133</v>
      </c>
      <c r="D54" s="149">
        <v>-590478</v>
      </c>
      <c r="E54" s="149">
        <v>-611886</v>
      </c>
      <c r="F54" s="149">
        <v>-646767</v>
      </c>
      <c r="G54" s="149">
        <v>-685574</v>
      </c>
    </row>
    <row r="55" spans="1:7" s="23" customFormat="1" ht="15.75" customHeight="1">
      <c r="A55" s="175" t="s">
        <v>91</v>
      </c>
      <c r="B55" s="333">
        <v>0</v>
      </c>
      <c r="C55" s="332">
        <v>0</v>
      </c>
      <c r="D55" s="149">
        <v>0</v>
      </c>
      <c r="E55" s="149">
        <v>0</v>
      </c>
      <c r="F55" s="149">
        <v>0</v>
      </c>
      <c r="G55" s="149">
        <v>0</v>
      </c>
    </row>
    <row r="56" spans="1:7" s="23" customFormat="1" ht="26.25" customHeight="1">
      <c r="A56" s="174" t="s">
        <v>92</v>
      </c>
      <c r="B56" s="334">
        <v>-43230</v>
      </c>
      <c r="C56" s="332">
        <v>-45968</v>
      </c>
      <c r="D56" s="149">
        <v>-50661</v>
      </c>
      <c r="E56" s="149">
        <v>-55939</v>
      </c>
      <c r="F56" s="149">
        <v>-61107</v>
      </c>
      <c r="G56" s="149">
        <v>-66460</v>
      </c>
    </row>
    <row r="57" spans="1:7" s="23" customFormat="1" ht="15.75" customHeight="1">
      <c r="A57" s="175" t="s">
        <v>262</v>
      </c>
      <c r="B57" s="333">
        <v>-111262</v>
      </c>
      <c r="C57" s="332">
        <v>-126544</v>
      </c>
      <c r="D57" s="149">
        <f>-(146384-8530-700)</f>
        <v>-137154</v>
      </c>
      <c r="E57" s="149">
        <f>-(157974-7320-1200)</f>
        <v>-149454</v>
      </c>
      <c r="F57" s="149">
        <f>-(167603-7830-1200)</f>
        <v>-158573</v>
      </c>
      <c r="G57" s="149">
        <f>-(176666-8100-1200)</f>
        <v>-167366</v>
      </c>
    </row>
    <row r="58" spans="1:7" s="23" customFormat="1" ht="15.75" customHeight="1">
      <c r="A58" s="175" t="s">
        <v>263</v>
      </c>
      <c r="B58" s="332">
        <v>-576</v>
      </c>
      <c r="C58" s="332">
        <f>C59+C60</f>
        <v>-958</v>
      </c>
      <c r="D58" s="332">
        <f>D59+D60</f>
        <v>-700</v>
      </c>
      <c r="E58" s="332">
        <f t="shared" ref="E58:G58" si="16">E59+E60</f>
        <v>-1200</v>
      </c>
      <c r="F58" s="332">
        <f t="shared" si="16"/>
        <v>-1200</v>
      </c>
      <c r="G58" s="332">
        <f t="shared" si="16"/>
        <v>-1200</v>
      </c>
    </row>
    <row r="59" spans="1:7" ht="33.75" customHeight="1">
      <c r="A59" s="177" t="s">
        <v>264</v>
      </c>
      <c r="B59" s="333">
        <v>-366</v>
      </c>
      <c r="C59" s="332">
        <v>-376</v>
      </c>
      <c r="D59" s="149">
        <v>0</v>
      </c>
      <c r="E59" s="149">
        <v>0</v>
      </c>
      <c r="F59" s="149">
        <v>0</v>
      </c>
      <c r="G59" s="149">
        <v>0</v>
      </c>
    </row>
    <row r="60" spans="1:7" ht="15.75" customHeight="1">
      <c r="A60" s="175" t="s">
        <v>274</v>
      </c>
      <c r="B60" s="333">
        <v>-210</v>
      </c>
      <c r="C60" s="332">
        <v>-582</v>
      </c>
      <c r="D60" s="149">
        <v>-700</v>
      </c>
      <c r="E60" s="149">
        <v>-1200</v>
      </c>
      <c r="F60" s="149">
        <v>-1200</v>
      </c>
      <c r="G60" s="149">
        <v>-1200</v>
      </c>
    </row>
    <row r="61" spans="1:7" ht="15.75" customHeight="1">
      <c r="A61" s="175"/>
      <c r="B61" s="333"/>
      <c r="C61" s="332"/>
      <c r="D61" s="149"/>
      <c r="E61" s="149"/>
      <c r="F61" s="149"/>
      <c r="G61" s="149"/>
    </row>
    <row r="62" spans="1:7" ht="15.75" customHeight="1">
      <c r="A62" s="175"/>
      <c r="B62" s="333"/>
      <c r="C62" s="332"/>
      <c r="D62" s="149"/>
      <c r="E62" s="149"/>
      <c r="F62" s="149"/>
      <c r="G62" s="263" t="s">
        <v>265</v>
      </c>
    </row>
    <row r="63" spans="1:7" ht="15.75" customHeight="1">
      <c r="A63" s="71"/>
      <c r="B63" s="71"/>
      <c r="C63" s="335"/>
      <c r="D63" s="72"/>
      <c r="E63" s="72"/>
      <c r="F63" s="72"/>
      <c r="G63" s="73" t="s">
        <v>121</v>
      </c>
    </row>
    <row r="64" spans="1:7" ht="15.75" customHeight="1">
      <c r="A64" s="166"/>
      <c r="B64" s="319" t="s">
        <v>202</v>
      </c>
      <c r="C64" s="319" t="s">
        <v>203</v>
      </c>
      <c r="D64" s="319" t="s">
        <v>209</v>
      </c>
      <c r="E64" s="320" t="s">
        <v>382</v>
      </c>
      <c r="F64" s="319" t="s">
        <v>413</v>
      </c>
      <c r="G64" s="319" t="s">
        <v>472</v>
      </c>
    </row>
    <row r="65" spans="1:7" ht="15.75" customHeight="1">
      <c r="A65" s="167"/>
      <c r="B65" s="322" t="s">
        <v>54</v>
      </c>
      <c r="C65" s="322" t="s">
        <v>54</v>
      </c>
      <c r="D65" s="322" t="s">
        <v>3</v>
      </c>
      <c r="E65" s="323" t="s">
        <v>55</v>
      </c>
      <c r="F65" s="322" t="s">
        <v>56</v>
      </c>
      <c r="G65" s="322" t="s">
        <v>56</v>
      </c>
    </row>
    <row r="66" spans="1:7" ht="15.75" customHeight="1">
      <c r="A66" s="168" t="s">
        <v>142</v>
      </c>
      <c r="B66" s="324">
        <v>-2665</v>
      </c>
      <c r="C66" s="324">
        <f t="shared" ref="C66:G66" si="17">C67+C75</f>
        <v>-10331</v>
      </c>
      <c r="D66" s="324">
        <f t="shared" si="17"/>
        <v>0</v>
      </c>
      <c r="E66" s="324">
        <f>E67+E75</f>
        <v>0</v>
      </c>
      <c r="F66" s="324">
        <f t="shared" si="17"/>
        <v>0</v>
      </c>
      <c r="G66" s="324">
        <f t="shared" si="17"/>
        <v>0</v>
      </c>
    </row>
    <row r="67" spans="1:7" ht="15.75" customHeight="1">
      <c r="A67" s="175" t="s">
        <v>275</v>
      </c>
      <c r="B67" s="333">
        <v>4222298</v>
      </c>
      <c r="C67" s="333">
        <f t="shared" ref="C67:G67" si="18">SUM(C68:C74)</f>
        <v>4667541</v>
      </c>
      <c r="D67" s="333">
        <f>SUM(D68:D74)</f>
        <v>4687368</v>
      </c>
      <c r="E67" s="333">
        <f t="shared" si="18"/>
        <v>4718906</v>
      </c>
      <c r="F67" s="333">
        <f>SUM(F68:F74)</f>
        <v>4980480</v>
      </c>
      <c r="G67" s="333">
        <f t="shared" si="18"/>
        <v>5240610</v>
      </c>
    </row>
    <row r="68" spans="1:7" ht="27.75" customHeight="1">
      <c r="A68" s="175" t="s">
        <v>276</v>
      </c>
      <c r="B68" s="333">
        <v>604173</v>
      </c>
      <c r="C68" s="149">
        <v>727220</v>
      </c>
      <c r="D68" s="332">
        <v>815398</v>
      </c>
      <c r="E68" s="332">
        <v>784042</v>
      </c>
      <c r="F68" s="332">
        <v>817459</v>
      </c>
      <c r="G68" s="332">
        <v>857429</v>
      </c>
    </row>
    <row r="69" spans="1:7" ht="18.75" customHeight="1">
      <c r="A69" s="175" t="s">
        <v>74</v>
      </c>
      <c r="B69" s="333">
        <v>2578483</v>
      </c>
      <c r="C69" s="149">
        <v>2797979</v>
      </c>
      <c r="D69" s="332">
        <v>3027438</v>
      </c>
      <c r="E69" s="332">
        <v>3238441</v>
      </c>
      <c r="F69" s="332">
        <v>3436131</v>
      </c>
      <c r="G69" s="332">
        <v>3626373</v>
      </c>
    </row>
    <row r="70" spans="1:7" ht="30.75" customHeight="1">
      <c r="A70" s="174" t="s">
        <v>75</v>
      </c>
      <c r="B70" s="334">
        <v>580775</v>
      </c>
      <c r="C70" s="149">
        <v>645010</v>
      </c>
      <c r="D70" s="332">
        <v>437423</v>
      </c>
      <c r="E70" s="332">
        <v>358726</v>
      </c>
      <c r="F70" s="332">
        <v>382043</v>
      </c>
      <c r="G70" s="332">
        <v>404967</v>
      </c>
    </row>
    <row r="71" spans="1:7" ht="29.25" customHeight="1">
      <c r="A71" s="174" t="s">
        <v>277</v>
      </c>
      <c r="B71" s="334">
        <v>257329</v>
      </c>
      <c r="C71" s="149">
        <v>291004</v>
      </c>
      <c r="D71" s="332">
        <v>192503</v>
      </c>
      <c r="E71" s="332">
        <v>115737</v>
      </c>
      <c r="F71" s="332">
        <v>115737</v>
      </c>
      <c r="G71" s="332">
        <v>115737</v>
      </c>
    </row>
    <row r="72" spans="1:7" s="23" customFormat="1" ht="15.75" customHeight="1">
      <c r="A72" s="175" t="s">
        <v>130</v>
      </c>
      <c r="B72" s="333">
        <v>43912</v>
      </c>
      <c r="C72" s="336">
        <v>47948</v>
      </c>
      <c r="D72" s="337">
        <v>52303</v>
      </c>
      <c r="E72" s="337">
        <v>55980</v>
      </c>
      <c r="F72" s="337">
        <v>59555</v>
      </c>
      <c r="G72" s="337">
        <v>63052</v>
      </c>
    </row>
    <row r="73" spans="1:7" s="23" customFormat="1" ht="23.25" customHeight="1">
      <c r="A73" s="175" t="s">
        <v>131</v>
      </c>
      <c r="B73" s="333">
        <v>44142</v>
      </c>
      <c r="C73" s="336">
        <v>48210</v>
      </c>
      <c r="D73" s="337">
        <v>52303</v>
      </c>
      <c r="E73" s="337">
        <v>55980</v>
      </c>
      <c r="F73" s="337">
        <v>59555</v>
      </c>
      <c r="G73" s="337">
        <v>63052</v>
      </c>
    </row>
    <row r="74" spans="1:7" s="23" customFormat="1" ht="15.75" customHeight="1">
      <c r="A74" s="175" t="s">
        <v>365</v>
      </c>
      <c r="B74" s="333">
        <v>113484</v>
      </c>
      <c r="C74" s="149">
        <v>110170</v>
      </c>
      <c r="D74" s="332">
        <v>110000</v>
      </c>
      <c r="E74" s="332">
        <v>110000</v>
      </c>
      <c r="F74" s="332">
        <v>110000</v>
      </c>
      <c r="G74" s="332">
        <v>110000</v>
      </c>
    </row>
    <row r="75" spans="1:7" s="23" customFormat="1" ht="15.75" customHeight="1">
      <c r="A75" s="175" t="s">
        <v>278</v>
      </c>
      <c r="B75" s="333">
        <v>-4224963</v>
      </c>
      <c r="C75" s="333">
        <f>SUM(C76:C82)</f>
        <v>-4677872</v>
      </c>
      <c r="D75" s="333">
        <f t="shared" ref="D75:G75" si="19">SUM(D76:D82)</f>
        <v>-4687368</v>
      </c>
      <c r="E75" s="333">
        <f t="shared" si="19"/>
        <v>-4718906</v>
      </c>
      <c r="F75" s="333">
        <f t="shared" si="19"/>
        <v>-4980480</v>
      </c>
      <c r="G75" s="333">
        <f t="shared" si="19"/>
        <v>-5240610</v>
      </c>
    </row>
    <row r="76" spans="1:7" s="23" customFormat="1" ht="16.5" customHeight="1">
      <c r="A76" s="175" t="s">
        <v>366</v>
      </c>
      <c r="B76" s="333">
        <v>-636373</v>
      </c>
      <c r="C76" s="149">
        <v>-731605</v>
      </c>
      <c r="D76" s="332">
        <f>-D68</f>
        <v>-815398</v>
      </c>
      <c r="E76" s="332">
        <f>-E68</f>
        <v>-784042</v>
      </c>
      <c r="F76" s="332">
        <f>-F68</f>
        <v>-817459</v>
      </c>
      <c r="G76" s="332">
        <f t="shared" ref="D76:G82" si="20">-G68</f>
        <v>-857429</v>
      </c>
    </row>
    <row r="77" spans="1:7" s="23" customFormat="1" ht="31.5" customHeight="1">
      <c r="A77" s="174" t="s">
        <v>76</v>
      </c>
      <c r="B77" s="333">
        <v>-2563653</v>
      </c>
      <c r="C77" s="149">
        <v>-2835253</v>
      </c>
      <c r="D77" s="332">
        <f t="shared" si="20"/>
        <v>-3027438</v>
      </c>
      <c r="E77" s="332">
        <f t="shared" si="20"/>
        <v>-3238441</v>
      </c>
      <c r="F77" s="332">
        <f t="shared" si="20"/>
        <v>-3436131</v>
      </c>
      <c r="G77" s="332">
        <f t="shared" si="20"/>
        <v>-3626373</v>
      </c>
    </row>
    <row r="78" spans="1:7" s="23" customFormat="1" ht="33" customHeight="1">
      <c r="A78" s="174" t="s">
        <v>145</v>
      </c>
      <c r="B78" s="334">
        <v>-568714</v>
      </c>
      <c r="C78" s="149">
        <v>-636368</v>
      </c>
      <c r="D78" s="332">
        <f t="shared" si="20"/>
        <v>-437423</v>
      </c>
      <c r="E78" s="332">
        <f t="shared" si="20"/>
        <v>-358726</v>
      </c>
      <c r="F78" s="332">
        <f t="shared" si="20"/>
        <v>-382043</v>
      </c>
      <c r="G78" s="332">
        <f t="shared" si="20"/>
        <v>-404967</v>
      </c>
    </row>
    <row r="79" spans="1:7" s="23" customFormat="1" ht="47.25" customHeight="1">
      <c r="A79" s="174" t="s">
        <v>279</v>
      </c>
      <c r="B79" s="334">
        <v>-256000</v>
      </c>
      <c r="C79" s="149">
        <v>-290706</v>
      </c>
      <c r="D79" s="332">
        <f t="shared" si="20"/>
        <v>-192503</v>
      </c>
      <c r="E79" s="332">
        <f t="shared" si="20"/>
        <v>-115737</v>
      </c>
      <c r="F79" s="332">
        <f t="shared" si="20"/>
        <v>-115737</v>
      </c>
      <c r="G79" s="332">
        <f t="shared" si="20"/>
        <v>-115737</v>
      </c>
    </row>
    <row r="80" spans="1:7" s="23" customFormat="1" ht="18.75" customHeight="1">
      <c r="A80" s="178" t="s">
        <v>132</v>
      </c>
      <c r="B80" s="332">
        <v>-43350</v>
      </c>
      <c r="C80" s="149">
        <v>-47555</v>
      </c>
      <c r="D80" s="332">
        <f>-D72</f>
        <v>-52303</v>
      </c>
      <c r="E80" s="332">
        <f t="shared" si="20"/>
        <v>-55980</v>
      </c>
      <c r="F80" s="332">
        <f t="shared" si="20"/>
        <v>-59555</v>
      </c>
      <c r="G80" s="332">
        <f t="shared" si="20"/>
        <v>-63052</v>
      </c>
    </row>
    <row r="81" spans="1:10" s="23" customFormat="1" ht="18.75" customHeight="1">
      <c r="A81" s="178" t="s">
        <v>167</v>
      </c>
      <c r="B81" s="332">
        <v>-43572</v>
      </c>
      <c r="C81" s="149">
        <v>-47822</v>
      </c>
      <c r="D81" s="332">
        <f t="shared" si="20"/>
        <v>-52303</v>
      </c>
      <c r="E81" s="332">
        <f t="shared" si="20"/>
        <v>-55980</v>
      </c>
      <c r="F81" s="332">
        <f t="shared" si="20"/>
        <v>-59555</v>
      </c>
      <c r="G81" s="332">
        <f t="shared" si="20"/>
        <v>-63052</v>
      </c>
    </row>
    <row r="82" spans="1:10" s="23" customFormat="1" ht="24" customHeight="1">
      <c r="A82" s="178" t="s">
        <v>648</v>
      </c>
      <c r="B82" s="332">
        <v>-113301</v>
      </c>
      <c r="C82" s="149">
        <v>-88563</v>
      </c>
      <c r="D82" s="332">
        <f t="shared" si="20"/>
        <v>-110000</v>
      </c>
      <c r="E82" s="332">
        <f t="shared" si="20"/>
        <v>-110000</v>
      </c>
      <c r="F82" s="332">
        <f t="shared" si="20"/>
        <v>-110000</v>
      </c>
      <c r="G82" s="332">
        <f t="shared" si="20"/>
        <v>-110000</v>
      </c>
    </row>
    <row r="83" spans="1:10" s="23" customFormat="1" ht="18.75" customHeight="1">
      <c r="A83" s="179" t="s">
        <v>77</v>
      </c>
      <c r="B83" s="76">
        <v>390466</v>
      </c>
      <c r="C83" s="76">
        <f>C84+C85+C86+C87+C88+C92</f>
        <v>-1921503</v>
      </c>
      <c r="D83" s="76">
        <f>D84+D85+D86+D87+D88+D92</f>
        <v>-1799226</v>
      </c>
      <c r="E83" s="76">
        <f t="shared" ref="E83:G83" si="21">E84+E85+E86+E87+E92</f>
        <v>-23182</v>
      </c>
      <c r="F83" s="76">
        <f t="shared" si="21"/>
        <v>-15703</v>
      </c>
      <c r="G83" s="76">
        <f t="shared" si="21"/>
        <v>-12105</v>
      </c>
      <c r="J83" s="76"/>
    </row>
    <row r="84" spans="1:10" s="23" customFormat="1" ht="19.5" customHeight="1">
      <c r="A84" s="178" t="s">
        <v>190</v>
      </c>
      <c r="B84" s="332">
        <v>-3882</v>
      </c>
      <c r="C84" s="149">
        <v>-3738</v>
      </c>
      <c r="D84" s="149">
        <v>-14142</v>
      </c>
      <c r="E84" s="149">
        <v>-16746</v>
      </c>
      <c r="F84" s="149">
        <v>-15703</v>
      </c>
      <c r="G84" s="149">
        <v>-12105</v>
      </c>
    </row>
    <row r="85" spans="1:10" s="23" customFormat="1" ht="19.5" customHeight="1">
      <c r="A85" s="178" t="s">
        <v>191</v>
      </c>
      <c r="B85" s="332">
        <v>0</v>
      </c>
      <c r="C85" s="149">
        <v>0</v>
      </c>
      <c r="D85" s="149">
        <v>0</v>
      </c>
      <c r="E85" s="149">
        <v>0</v>
      </c>
      <c r="F85" s="149">
        <v>0</v>
      </c>
      <c r="G85" s="149">
        <v>0</v>
      </c>
    </row>
    <row r="86" spans="1:10" s="23" customFormat="1" ht="19.5" customHeight="1">
      <c r="A86" s="178" t="s">
        <v>78</v>
      </c>
      <c r="B86" s="332">
        <v>-3071</v>
      </c>
      <c r="C86" s="149">
        <v>-3414</v>
      </c>
      <c r="D86" s="149">
        <v>-5084</v>
      </c>
      <c r="E86" s="149">
        <v>-6443</v>
      </c>
      <c r="F86" s="149">
        <v>0</v>
      </c>
      <c r="G86" s="149">
        <v>0</v>
      </c>
    </row>
    <row r="87" spans="1:10" s="23" customFormat="1" ht="19.5" customHeight="1">
      <c r="A87" s="178" t="s">
        <v>79</v>
      </c>
      <c r="B87" s="332">
        <v>19</v>
      </c>
      <c r="C87" s="149">
        <v>0</v>
      </c>
      <c r="D87" s="149">
        <v>0</v>
      </c>
      <c r="E87" s="149">
        <v>7</v>
      </c>
      <c r="F87" s="149">
        <v>0</v>
      </c>
      <c r="G87" s="149">
        <v>0</v>
      </c>
    </row>
    <row r="88" spans="1:10" s="23" customFormat="1" ht="29.25" customHeight="1">
      <c r="A88" s="262" t="s">
        <v>140</v>
      </c>
      <c r="B88" s="332">
        <v>-1114000</v>
      </c>
      <c r="C88" s="149">
        <f>C89+C90</f>
        <v>-3934661</v>
      </c>
      <c r="D88" s="149">
        <f t="shared" ref="D88:G88" si="22">D89+D90+D91</f>
        <v>-1780000</v>
      </c>
      <c r="E88" s="149">
        <f t="shared" si="22"/>
        <v>0</v>
      </c>
      <c r="F88" s="149">
        <f t="shared" si="22"/>
        <v>0</v>
      </c>
      <c r="G88" s="149">
        <f t="shared" si="22"/>
        <v>0</v>
      </c>
    </row>
    <row r="89" spans="1:10" s="23" customFormat="1" ht="21" customHeight="1">
      <c r="A89" s="178" t="s">
        <v>266</v>
      </c>
      <c r="B89" s="332">
        <v>0</v>
      </c>
      <c r="C89" s="332">
        <v>-1654661</v>
      </c>
      <c r="D89" s="149">
        <v>-1780000</v>
      </c>
      <c r="E89" s="149">
        <v>0</v>
      </c>
      <c r="F89" s="149">
        <v>0</v>
      </c>
      <c r="G89" s="149">
        <v>0</v>
      </c>
    </row>
    <row r="90" spans="1:10" s="23" customFormat="1" ht="14.25" customHeight="1">
      <c r="A90" s="178" t="s">
        <v>267</v>
      </c>
      <c r="B90" s="332">
        <v>-1114000</v>
      </c>
      <c r="C90" s="332">
        <v>-2280000</v>
      </c>
      <c r="D90" s="149">
        <v>0</v>
      </c>
      <c r="E90" s="149">
        <v>0</v>
      </c>
      <c r="F90" s="149">
        <v>0</v>
      </c>
      <c r="G90" s="149">
        <v>0</v>
      </c>
    </row>
    <row r="91" spans="1:10" s="23" customFormat="1" ht="33" customHeight="1">
      <c r="A91" s="180" t="s">
        <v>367</v>
      </c>
      <c r="B91" s="338">
        <v>0</v>
      </c>
      <c r="C91" s="332">
        <v>0</v>
      </c>
      <c r="D91" s="149">
        <v>0</v>
      </c>
      <c r="E91" s="149">
        <v>0</v>
      </c>
      <c r="F91" s="149">
        <v>0</v>
      </c>
      <c r="G91" s="149">
        <v>0</v>
      </c>
    </row>
    <row r="92" spans="1:10" s="23" customFormat="1" ht="31.5" customHeight="1">
      <c r="A92" s="180" t="s">
        <v>80</v>
      </c>
      <c r="B92" s="332">
        <v>1511400</v>
      </c>
      <c r="C92" s="149">
        <f>C93+C94+C95</f>
        <v>2020310</v>
      </c>
      <c r="D92" s="149">
        <f t="shared" ref="D92:G92" si="23">D93+D94+D95</f>
        <v>0</v>
      </c>
      <c r="E92" s="149">
        <f t="shared" si="23"/>
        <v>0</v>
      </c>
      <c r="F92" s="149">
        <f t="shared" si="23"/>
        <v>0</v>
      </c>
      <c r="G92" s="149">
        <f t="shared" si="23"/>
        <v>0</v>
      </c>
    </row>
    <row r="93" spans="1:10" s="23" customFormat="1" ht="24" customHeight="1">
      <c r="A93" s="178" t="s">
        <v>268</v>
      </c>
      <c r="B93" s="332">
        <v>227400</v>
      </c>
      <c r="C93" s="332">
        <v>413310</v>
      </c>
      <c r="D93" s="149">
        <v>0</v>
      </c>
      <c r="E93" s="149">
        <v>0</v>
      </c>
      <c r="F93" s="149">
        <v>0</v>
      </c>
      <c r="G93" s="149">
        <v>0</v>
      </c>
    </row>
    <row r="94" spans="1:10" s="23" customFormat="1" ht="20.25" customHeight="1">
      <c r="A94" s="178" t="s">
        <v>269</v>
      </c>
      <c r="B94" s="332">
        <v>1284000</v>
      </c>
      <c r="C94" s="332">
        <v>1607000</v>
      </c>
      <c r="D94" s="149">
        <v>0</v>
      </c>
      <c r="E94" s="149">
        <v>0</v>
      </c>
      <c r="F94" s="149">
        <v>0</v>
      </c>
      <c r="G94" s="149">
        <v>0</v>
      </c>
    </row>
    <row r="95" spans="1:10" s="23" customFormat="1" ht="32.25" customHeight="1">
      <c r="A95" s="180" t="s">
        <v>411</v>
      </c>
      <c r="B95" s="338">
        <v>0</v>
      </c>
      <c r="C95" s="332">
        <v>0</v>
      </c>
      <c r="D95" s="149">
        <v>0</v>
      </c>
      <c r="E95" s="149">
        <v>0</v>
      </c>
      <c r="F95" s="149">
        <v>0</v>
      </c>
      <c r="G95" s="149">
        <v>0</v>
      </c>
    </row>
    <row r="96" spans="1:10" s="23" customFormat="1" ht="20.25" customHeight="1">
      <c r="A96" s="179" t="s">
        <v>81</v>
      </c>
      <c r="B96" s="76">
        <v>-870</v>
      </c>
      <c r="C96" s="76">
        <f>SUM(C97:C102)</f>
        <v>-1</v>
      </c>
      <c r="D96" s="76">
        <f t="shared" ref="D96:G96" si="24">SUM(D97:D101)</f>
        <v>0</v>
      </c>
      <c r="E96" s="76">
        <f t="shared" si="24"/>
        <v>0</v>
      </c>
      <c r="F96" s="76">
        <f t="shared" si="24"/>
        <v>0</v>
      </c>
      <c r="G96" s="76">
        <f t="shared" si="24"/>
        <v>0</v>
      </c>
    </row>
    <row r="97" spans="1:7" s="23" customFormat="1" ht="20.25" customHeight="1">
      <c r="A97" s="178" t="s">
        <v>280</v>
      </c>
      <c r="B97" s="332"/>
      <c r="C97" s="149"/>
      <c r="D97" s="149"/>
      <c r="E97" s="149"/>
      <c r="F97" s="149"/>
      <c r="G97" s="149"/>
    </row>
    <row r="98" spans="1:7" s="23" customFormat="1" ht="20.25" customHeight="1">
      <c r="A98" s="178" t="s">
        <v>82</v>
      </c>
      <c r="B98" s="332"/>
      <c r="C98" s="149"/>
      <c r="D98" s="149"/>
      <c r="E98" s="149"/>
      <c r="F98" s="149"/>
      <c r="G98" s="149"/>
    </row>
    <row r="99" spans="1:7" s="23" customFormat="1" ht="20.25" customHeight="1">
      <c r="A99" s="178" t="s">
        <v>83</v>
      </c>
      <c r="B99" s="332"/>
      <c r="C99" s="149"/>
      <c r="D99" s="149"/>
      <c r="E99" s="149"/>
      <c r="F99" s="149"/>
      <c r="G99" s="149"/>
    </row>
    <row r="100" spans="1:7" s="23" customFormat="1" ht="18" customHeight="1">
      <c r="A100" s="178" t="s">
        <v>84</v>
      </c>
      <c r="B100" s="332"/>
      <c r="C100" s="149"/>
      <c r="D100" s="149"/>
      <c r="E100" s="149"/>
      <c r="F100" s="149"/>
      <c r="G100" s="149"/>
    </row>
    <row r="101" spans="1:7" s="23" customFormat="1" ht="29.25" customHeight="1">
      <c r="A101" s="180" t="s">
        <v>133</v>
      </c>
      <c r="B101" s="332">
        <v>-876</v>
      </c>
      <c r="C101" s="149">
        <v>0</v>
      </c>
      <c r="D101" s="149">
        <v>0</v>
      </c>
      <c r="E101" s="149">
        <v>0</v>
      </c>
      <c r="F101" s="149">
        <v>0</v>
      </c>
      <c r="G101" s="149">
        <v>0</v>
      </c>
    </row>
    <row r="102" spans="1:7" s="23" customFormat="1" ht="18.75" customHeight="1">
      <c r="A102" s="180" t="s">
        <v>281</v>
      </c>
      <c r="B102" s="332">
        <v>6</v>
      </c>
      <c r="C102" s="149">
        <v>-1</v>
      </c>
      <c r="D102" s="149"/>
      <c r="E102" s="149"/>
      <c r="F102" s="149"/>
      <c r="G102" s="149"/>
    </row>
    <row r="103" spans="1:7" s="23" customFormat="1" ht="2.25" customHeight="1">
      <c r="A103" s="178"/>
      <c r="B103" s="332"/>
      <c r="C103" s="149"/>
      <c r="D103" s="149"/>
      <c r="E103" s="149"/>
      <c r="F103" s="149"/>
      <c r="G103" s="149"/>
    </row>
    <row r="104" spans="1:7" s="23" customFormat="1" ht="20.25" customHeight="1">
      <c r="A104" s="179" t="s">
        <v>141</v>
      </c>
      <c r="B104" s="76">
        <v>1330042</v>
      </c>
      <c r="C104" s="76">
        <f>C109</f>
        <v>-1000510</v>
      </c>
      <c r="D104" s="76">
        <f>D109</f>
        <v>880855</v>
      </c>
      <c r="E104" s="76">
        <f>E109</f>
        <v>1476203</v>
      </c>
      <c r="F104" s="76">
        <f t="shared" ref="F104:G104" si="25">F109</f>
        <v>1088505</v>
      </c>
      <c r="G104" s="76">
        <f t="shared" si="25"/>
        <v>813963</v>
      </c>
    </row>
    <row r="105" spans="1:7" s="23" customFormat="1" ht="20.25" customHeight="1">
      <c r="A105" s="179" t="s">
        <v>282</v>
      </c>
      <c r="B105" s="76"/>
      <c r="C105" s="149"/>
      <c r="D105" s="149"/>
      <c r="E105" s="149"/>
      <c r="F105" s="149"/>
      <c r="G105" s="149"/>
    </row>
    <row r="106" spans="1:7" s="23" customFormat="1" ht="15">
      <c r="A106" s="178" t="s">
        <v>93</v>
      </c>
      <c r="B106" s="332">
        <v>1502177</v>
      </c>
      <c r="C106" s="332">
        <f>C107+C108</f>
        <v>2832219</v>
      </c>
      <c r="D106" s="332">
        <f>C112</f>
        <v>1831709</v>
      </c>
      <c r="E106" s="332">
        <f>E107+E108</f>
        <v>2712564</v>
      </c>
      <c r="F106" s="332">
        <f>F107+F108</f>
        <v>4188767</v>
      </c>
      <c r="G106" s="332">
        <f t="shared" ref="G106" si="26">G107+G108</f>
        <v>5277272</v>
      </c>
    </row>
    <row r="107" spans="1:7" s="23" customFormat="1" ht="15">
      <c r="A107" s="178" t="s">
        <v>134</v>
      </c>
      <c r="B107" s="332">
        <v>326945</v>
      </c>
      <c r="C107" s="332">
        <f>B113</f>
        <v>1508255</v>
      </c>
      <c r="D107" s="332">
        <f>C113</f>
        <v>491347</v>
      </c>
      <c r="E107" s="332">
        <f>D113</f>
        <v>1403956</v>
      </c>
      <c r="F107" s="332">
        <f t="shared" ref="F107:G108" si="27">E113</f>
        <v>2911537</v>
      </c>
      <c r="G107" s="332">
        <f t="shared" si="27"/>
        <v>4038991</v>
      </c>
    </row>
    <row r="108" spans="1:7" s="23" customFormat="1" ht="17.25" customHeight="1">
      <c r="A108" s="178" t="s">
        <v>135</v>
      </c>
      <c r="B108" s="332">
        <v>1175232</v>
      </c>
      <c r="C108" s="332">
        <f>B114</f>
        <v>1323964</v>
      </c>
      <c r="D108" s="332">
        <f>C114</f>
        <v>1340362</v>
      </c>
      <c r="E108" s="332">
        <f>D114</f>
        <v>1308608</v>
      </c>
      <c r="F108" s="332">
        <f t="shared" si="27"/>
        <v>1277230</v>
      </c>
      <c r="G108" s="332">
        <f t="shared" si="27"/>
        <v>1238281</v>
      </c>
    </row>
    <row r="109" spans="1:7" s="23" customFormat="1" ht="21" customHeight="1">
      <c r="A109" s="178" t="s">
        <v>85</v>
      </c>
      <c r="B109" s="332">
        <v>1330042</v>
      </c>
      <c r="C109" s="332">
        <f>C7+C66+C83+C96</f>
        <v>-1000510</v>
      </c>
      <c r="D109" s="332">
        <f>D7+D83+D96</f>
        <v>880855</v>
      </c>
      <c r="E109" s="332">
        <f>E6+E83+E96</f>
        <v>1476203</v>
      </c>
      <c r="F109" s="332">
        <f>F6+F83+F96</f>
        <v>1088505</v>
      </c>
      <c r="G109" s="332">
        <f>G6+G83+G96</f>
        <v>813963</v>
      </c>
    </row>
    <row r="110" spans="1:7" s="23" customFormat="1" ht="15">
      <c r="A110" s="178" t="s">
        <v>136</v>
      </c>
      <c r="B110" s="332">
        <v>1181310</v>
      </c>
      <c r="C110" s="332">
        <v>-1016908</v>
      </c>
      <c r="D110" s="332">
        <f>818309+94300</f>
        <v>912609</v>
      </c>
      <c r="E110" s="332">
        <f>786555-41874+165900+597000</f>
        <v>1507581</v>
      </c>
      <c r="F110" s="332">
        <f>713384-37230+224000+227300</f>
        <v>1127454</v>
      </c>
      <c r="G110" s="332">
        <f>637300-36468+280700</f>
        <v>881532</v>
      </c>
    </row>
    <row r="111" spans="1:7" s="23" customFormat="1" ht="20.25" customHeight="1">
      <c r="A111" s="178" t="s">
        <v>137</v>
      </c>
      <c r="B111" s="332">
        <v>148732</v>
      </c>
      <c r="C111" s="332">
        <v>16398</v>
      </c>
      <c r="D111" s="332">
        <f>D109-D110</f>
        <v>-31754</v>
      </c>
      <c r="E111" s="332">
        <f>E109-E110</f>
        <v>-31378</v>
      </c>
      <c r="F111" s="332">
        <f>F109-F110</f>
        <v>-38949</v>
      </c>
      <c r="G111" s="332">
        <f>G109-G110</f>
        <v>-67569</v>
      </c>
    </row>
    <row r="112" spans="1:7" s="23" customFormat="1" ht="20.25" customHeight="1">
      <c r="A112" s="178" t="s">
        <v>86</v>
      </c>
      <c r="B112" s="332">
        <v>2832219</v>
      </c>
      <c r="C112" s="332">
        <f t="shared" ref="C112:C114" si="28">C106+C109</f>
        <v>1831709</v>
      </c>
      <c r="D112" s="332">
        <f t="shared" ref="D112:G114" si="29">D106+D109</f>
        <v>2712564</v>
      </c>
      <c r="E112" s="332">
        <f>E106+E109</f>
        <v>4188767</v>
      </c>
      <c r="F112" s="332">
        <f t="shared" si="29"/>
        <v>5277272</v>
      </c>
      <c r="G112" s="332">
        <f t="shared" si="29"/>
        <v>6091235</v>
      </c>
    </row>
    <row r="113" spans="1:8" s="23" customFormat="1" ht="14.25" customHeight="1">
      <c r="A113" s="178" t="s">
        <v>139</v>
      </c>
      <c r="B113" s="332">
        <v>1508255</v>
      </c>
      <c r="C113" s="149">
        <f t="shared" si="28"/>
        <v>491347</v>
      </c>
      <c r="D113" s="149">
        <f t="shared" si="29"/>
        <v>1403956</v>
      </c>
      <c r="E113" s="149">
        <f>E107+E110</f>
        <v>2911537</v>
      </c>
      <c r="F113" s="149">
        <f t="shared" si="29"/>
        <v>4038991</v>
      </c>
      <c r="G113" s="149">
        <f t="shared" si="29"/>
        <v>4920523</v>
      </c>
      <c r="H113" s="149"/>
    </row>
    <row r="114" spans="1:8" s="23" customFormat="1" ht="20.25" customHeight="1">
      <c r="A114" s="178" t="s">
        <v>138</v>
      </c>
      <c r="B114" s="332">
        <v>1323964</v>
      </c>
      <c r="C114" s="149">
        <f t="shared" si="28"/>
        <v>1340362</v>
      </c>
      <c r="D114" s="149">
        <f t="shared" si="29"/>
        <v>1308608</v>
      </c>
      <c r="E114" s="149">
        <f>E108+E111</f>
        <v>1277230</v>
      </c>
      <c r="F114" s="149">
        <f t="shared" si="29"/>
        <v>1238281</v>
      </c>
      <c r="G114" s="149">
        <f t="shared" si="29"/>
        <v>1170712</v>
      </c>
    </row>
    <row r="115" spans="1:8" s="23" customFormat="1" ht="23.25" customHeight="1">
      <c r="A115" s="181" t="s">
        <v>87</v>
      </c>
      <c r="B115" s="76">
        <v>293985</v>
      </c>
      <c r="C115" s="339">
        <v>329432</v>
      </c>
      <c r="D115" s="339">
        <v>368490</v>
      </c>
      <c r="E115" s="76">
        <v>410364</v>
      </c>
      <c r="F115" s="76">
        <v>447594</v>
      </c>
      <c r="G115" s="76">
        <v>484062</v>
      </c>
    </row>
    <row r="116" spans="1:8" s="23" customFormat="1" ht="20.25" customHeight="1">
      <c r="A116" s="37"/>
      <c r="B116" s="150"/>
      <c r="C116" s="150"/>
      <c r="D116" s="150"/>
      <c r="E116" s="150"/>
      <c r="F116" s="150"/>
      <c r="G116" s="150"/>
    </row>
    <row r="117" spans="1:8" s="23" customFormat="1" ht="20.25" customHeight="1">
      <c r="A117" s="37"/>
      <c r="B117" s="37"/>
    </row>
    <row r="118" spans="1:8">
      <c r="A118" s="23"/>
      <c r="B118" s="23"/>
      <c r="C118" s="23"/>
      <c r="D118" s="23"/>
      <c r="E118" s="23"/>
      <c r="F118" s="23"/>
      <c r="G118" s="23"/>
    </row>
    <row r="119" spans="1:8" ht="13.5" customHeight="1">
      <c r="A119" s="23"/>
      <c r="B119" s="23"/>
      <c r="C119" s="23"/>
      <c r="D119" s="23"/>
      <c r="E119" s="23"/>
      <c r="F119" s="23"/>
      <c r="G119" s="23"/>
    </row>
    <row r="120" spans="1:8" hidden="1"/>
    <row r="121" spans="1:8" hidden="1"/>
    <row r="122" spans="1:8" hidden="1"/>
    <row r="123" spans="1:8" hidden="1"/>
    <row r="124" spans="1:8" hidden="1"/>
    <row r="125" spans="1:8" hidden="1"/>
    <row r="126" spans="1:8" hidden="1"/>
    <row r="127" spans="1:8" hidden="1"/>
    <row r="128" spans="1:8" hidden="1"/>
    <row r="129" hidden="1"/>
    <row r="130" hidden="1"/>
    <row r="131" hidden="1"/>
    <row r="133" ht="15.75" customHeight="1"/>
  </sheetData>
  <mergeCells count="1">
    <mergeCell ref="A1:E1"/>
  </mergeCells>
  <pageMargins left="0.7" right="0.7" top="0.75" bottom="0.75"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2"/>
  <sheetViews>
    <sheetView zoomScale="110" workbookViewId="0">
      <selection activeCell="G25" sqref="G25"/>
    </sheetView>
  </sheetViews>
  <sheetFormatPr defaultRowHeight="12.75"/>
  <cols>
    <col min="1" max="1" width="27.5703125" style="64" customWidth="1"/>
    <col min="2" max="2" width="10" style="64" customWidth="1"/>
    <col min="3" max="3" width="17.85546875" style="64" customWidth="1"/>
    <col min="4" max="4" width="14.85546875" style="64" customWidth="1"/>
    <col min="5" max="5" width="10.28515625" style="64" customWidth="1"/>
    <col min="6" max="6" width="7.7109375" style="64" customWidth="1"/>
    <col min="7" max="7" width="9.28515625" style="64" bestFit="1" customWidth="1"/>
    <col min="8" max="8" width="9.140625" style="64"/>
    <col min="9" max="9" width="9.7109375" style="64" bestFit="1" customWidth="1"/>
    <col min="10" max="16384" width="9.140625" style="64"/>
  </cols>
  <sheetData>
    <row r="1" spans="1:7" ht="13.5" customHeight="1">
      <c r="A1" s="340"/>
      <c r="B1" s="341"/>
      <c r="C1" s="340"/>
      <c r="D1" s="340"/>
      <c r="E1" s="340"/>
      <c r="F1" s="340" t="s">
        <v>123</v>
      </c>
    </row>
    <row r="2" spans="1:7" ht="13.5" customHeight="1">
      <c r="A2" s="340"/>
      <c r="B2" s="341"/>
      <c r="C2" s="340"/>
      <c r="D2" s="340"/>
      <c r="E2" s="340"/>
      <c r="F2" s="340" t="s">
        <v>6</v>
      </c>
      <c r="G2" s="66"/>
    </row>
    <row r="3" spans="1:7" ht="13.5" customHeight="1">
      <c r="A3" s="340"/>
      <c r="B3" s="341"/>
      <c r="C3" s="340"/>
      <c r="D3" s="340"/>
      <c r="E3" s="340"/>
      <c r="F3" s="340"/>
      <c r="G3" s="66"/>
    </row>
    <row r="4" spans="1:7" ht="13.5" customHeight="1">
      <c r="A4" s="576" t="s">
        <v>64</v>
      </c>
      <c r="B4" s="576"/>
      <c r="C4" s="576"/>
      <c r="D4" s="576"/>
      <c r="E4" s="576"/>
      <c r="F4" s="576"/>
    </row>
    <row r="5" spans="1:7" ht="13.5" customHeight="1">
      <c r="A5" s="576" t="s">
        <v>65</v>
      </c>
      <c r="B5" s="576"/>
      <c r="C5" s="576"/>
      <c r="D5" s="576"/>
      <c r="E5" s="576"/>
      <c r="F5" s="576"/>
    </row>
    <row r="6" spans="1:7" ht="18" customHeight="1">
      <c r="A6" s="340"/>
      <c r="B6" s="341"/>
      <c r="C6" s="340"/>
      <c r="D6" s="340"/>
      <c r="E6" s="340"/>
      <c r="F6" s="340"/>
    </row>
    <row r="7" spans="1:7" ht="78" customHeight="1">
      <c r="A7" s="577" t="s">
        <v>124</v>
      </c>
      <c r="B7" s="577"/>
      <c r="C7" s="577"/>
      <c r="D7" s="577"/>
      <c r="E7" s="577"/>
      <c r="F7" s="577"/>
    </row>
    <row r="8" spans="1:7" ht="38.25" customHeight="1">
      <c r="A8" s="578" t="s">
        <v>204</v>
      </c>
      <c r="B8" s="578"/>
      <c r="C8" s="578"/>
      <c r="D8" s="578"/>
      <c r="E8" s="578"/>
      <c r="F8" s="578"/>
    </row>
    <row r="9" spans="1:7" ht="38.25" customHeight="1">
      <c r="A9" s="578" t="s">
        <v>473</v>
      </c>
      <c r="B9" s="578"/>
      <c r="C9" s="578"/>
      <c r="D9" s="578"/>
      <c r="E9" s="578"/>
      <c r="F9" s="578"/>
    </row>
    <row r="10" spans="1:7" ht="15" customHeight="1">
      <c r="A10" s="575" t="s">
        <v>156</v>
      </c>
      <c r="B10" s="575"/>
      <c r="C10" s="575"/>
      <c r="D10" s="575"/>
      <c r="E10" s="575"/>
      <c r="F10" s="575"/>
    </row>
    <row r="11" spans="1:7" ht="93" customHeight="1">
      <c r="A11" s="577" t="s">
        <v>474</v>
      </c>
      <c r="B11" s="577"/>
      <c r="C11" s="577"/>
      <c r="D11" s="577"/>
      <c r="E11" s="577"/>
      <c r="F11" s="577"/>
    </row>
    <row r="12" spans="1:7" ht="15" customHeight="1">
      <c r="A12" s="582" t="s">
        <v>157</v>
      </c>
      <c r="B12" s="582"/>
      <c r="C12" s="582"/>
      <c r="D12" s="582"/>
      <c r="E12" s="583"/>
      <c r="F12" s="582"/>
    </row>
    <row r="13" spans="1:7" ht="27" customHeight="1">
      <c r="A13" s="342"/>
      <c r="B13" s="342"/>
      <c r="C13" s="342"/>
      <c r="D13" s="342"/>
      <c r="E13" s="343" t="s">
        <v>48</v>
      </c>
      <c r="F13" s="342"/>
    </row>
    <row r="14" spans="1:7" ht="54.75" customHeight="1">
      <c r="A14" s="340"/>
      <c r="B14" s="584" t="s">
        <v>475</v>
      </c>
      <c r="C14" s="584"/>
      <c r="D14" s="344" t="s">
        <v>66</v>
      </c>
      <c r="E14" s="345"/>
      <c r="F14" s="340"/>
    </row>
    <row r="15" spans="1:7" ht="24" customHeight="1">
      <c r="A15" s="340"/>
      <c r="B15" s="579" t="s">
        <v>67</v>
      </c>
      <c r="C15" s="579"/>
      <c r="D15" s="346">
        <v>0.14000000000000001</v>
      </c>
      <c r="E15" s="345"/>
      <c r="F15" s="340"/>
    </row>
    <row r="16" spans="1:7" ht="24" customHeight="1">
      <c r="A16" s="340"/>
      <c r="B16" s="579" t="s">
        <v>68</v>
      </c>
      <c r="C16" s="579"/>
      <c r="D16" s="347">
        <v>0.44</v>
      </c>
      <c r="E16" s="345"/>
      <c r="F16" s="340"/>
    </row>
    <row r="17" spans="1:6" ht="24" customHeight="1">
      <c r="A17" s="340"/>
      <c r="B17" s="579" t="s">
        <v>69</v>
      </c>
      <c r="C17" s="579"/>
      <c r="D17" s="347">
        <v>0.7</v>
      </c>
      <c r="E17" s="345"/>
      <c r="F17" s="340"/>
    </row>
    <row r="18" spans="1:6" ht="24" customHeight="1">
      <c r="A18" s="340"/>
      <c r="B18" s="579" t="s">
        <v>70</v>
      </c>
      <c r="C18" s="579"/>
      <c r="D18" s="348">
        <v>1.4</v>
      </c>
      <c r="E18" s="345"/>
      <c r="F18" s="340"/>
    </row>
    <row r="19" spans="1:6" ht="66.75" customHeight="1">
      <c r="A19" s="340"/>
      <c r="B19" s="580" t="s">
        <v>71</v>
      </c>
      <c r="C19" s="581"/>
      <c r="D19" s="347">
        <v>0.16</v>
      </c>
      <c r="E19" s="345"/>
      <c r="F19" s="340"/>
    </row>
    <row r="20" spans="1:6" ht="16.5" customHeight="1">
      <c r="A20" s="340"/>
      <c r="B20" s="341"/>
      <c r="C20" s="340"/>
      <c r="D20" s="340"/>
      <c r="E20" s="345"/>
      <c r="F20" s="340"/>
    </row>
    <row r="21" spans="1:6" ht="18" customHeight="1">
      <c r="B21" s="65"/>
      <c r="E21" s="67"/>
    </row>
    <row r="22" spans="1:6" ht="18.75" customHeight="1">
      <c r="B22" s="68"/>
      <c r="C22" s="69"/>
      <c r="E22" s="67"/>
    </row>
    <row r="23" spans="1:6" ht="25.5" customHeight="1">
      <c r="B23" s="65"/>
      <c r="E23" s="67"/>
    </row>
    <row r="24" spans="1:6" ht="14.25" customHeight="1">
      <c r="A24" s="70"/>
      <c r="B24" s="68"/>
      <c r="C24" s="69"/>
      <c r="D24" s="69"/>
      <c r="E24" s="67"/>
    </row>
    <row r="25" spans="1:6" ht="49.5" customHeight="1">
      <c r="B25" s="65"/>
      <c r="E25" s="67"/>
    </row>
    <row r="26" spans="1:6">
      <c r="B26" s="65"/>
      <c r="E26" s="67"/>
    </row>
    <row r="27" spans="1:6">
      <c r="B27" s="65"/>
      <c r="E27" s="67"/>
    </row>
    <row r="28" spans="1:6">
      <c r="B28" s="65"/>
      <c r="E28" s="67"/>
    </row>
    <row r="29" spans="1:6" ht="11.25" customHeight="1">
      <c r="B29" s="65"/>
      <c r="E29" s="67"/>
    </row>
    <row r="30" spans="1:6">
      <c r="B30" s="65"/>
      <c r="E30" s="67"/>
    </row>
    <row r="31" spans="1:6">
      <c r="B31" s="65"/>
      <c r="E31" s="67"/>
    </row>
    <row r="32" spans="1:6">
      <c r="B32" s="65"/>
      <c r="E32" s="67"/>
    </row>
    <row r="33" spans="5:5">
      <c r="E33" s="67"/>
    </row>
    <row r="34" spans="5:5">
      <c r="E34" s="67"/>
    </row>
    <row r="35" spans="5:5">
      <c r="E35" s="67"/>
    </row>
    <row r="36" spans="5:5">
      <c r="E36" s="67"/>
    </row>
    <row r="37" spans="5:5">
      <c r="E37" s="67"/>
    </row>
    <row r="38" spans="5:5">
      <c r="E38" s="67"/>
    </row>
    <row r="39" spans="5:5">
      <c r="E39" s="67"/>
    </row>
    <row r="40" spans="5:5">
      <c r="E40" s="67"/>
    </row>
    <row r="41" spans="5:5">
      <c r="E41" s="67"/>
    </row>
    <row r="42" spans="5:5">
      <c r="E42" s="67"/>
    </row>
    <row r="43" spans="5:5">
      <c r="E43" s="67"/>
    </row>
    <row r="44" spans="5:5">
      <c r="E44" s="67"/>
    </row>
    <row r="45" spans="5:5">
      <c r="E45" s="67"/>
    </row>
    <row r="46" spans="5:5">
      <c r="E46" s="67"/>
    </row>
    <row r="47" spans="5:5">
      <c r="E47" s="67"/>
    </row>
    <row r="48" spans="5:5">
      <c r="E48" s="67"/>
    </row>
    <row r="52" ht="32.25" customHeight="1"/>
  </sheetData>
  <mergeCells count="14">
    <mergeCell ref="B18:C18"/>
    <mergeCell ref="B19:C19"/>
    <mergeCell ref="A11:F11"/>
    <mergeCell ref="A12:F12"/>
    <mergeCell ref="B14:C14"/>
    <mergeCell ref="B15:C15"/>
    <mergeCell ref="B16:C16"/>
    <mergeCell ref="B17:C17"/>
    <mergeCell ref="A10:F10"/>
    <mergeCell ref="A4:F4"/>
    <mergeCell ref="A5:F5"/>
    <mergeCell ref="A7:F7"/>
    <mergeCell ref="A8:F8"/>
    <mergeCell ref="A9:F9"/>
  </mergeCells>
  <pageMargins left="0.7" right="0.7" top="0.75" bottom="0.75" header="0.3" footer="0.3"/>
  <pageSetup paperSize="9" scale="95"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4320E-F64F-4D1C-B8F8-12B36CBA0912}">
  <dimension ref="A1:K47"/>
  <sheetViews>
    <sheetView workbookViewId="0">
      <selection sqref="A1:I44"/>
    </sheetView>
  </sheetViews>
  <sheetFormatPr defaultRowHeight="12.75"/>
  <cols>
    <col min="1" max="1" width="5.42578125" style="132" customWidth="1"/>
    <col min="2" max="8" width="9.140625" style="132"/>
    <col min="9" max="9" width="13.5703125" style="132" customWidth="1"/>
    <col min="10" max="11" width="10.5703125" style="132" customWidth="1"/>
    <col min="12" max="12" width="9.7109375" style="132" customWidth="1"/>
    <col min="13" max="13" width="10.42578125" style="132" customWidth="1"/>
    <col min="14" max="14" width="10.7109375" style="132" customWidth="1"/>
    <col min="15" max="247" width="9.140625" style="132"/>
    <col min="248" max="248" width="5.42578125" style="132" customWidth="1"/>
    <col min="249" max="503" width="9.140625" style="132"/>
    <col min="504" max="504" width="5.42578125" style="132" customWidth="1"/>
    <col min="505" max="759" width="9.140625" style="132"/>
    <col min="760" max="760" width="5.42578125" style="132" customWidth="1"/>
    <col min="761" max="1015" width="9.140625" style="132"/>
    <col min="1016" max="1016" width="5.42578125" style="132" customWidth="1"/>
    <col min="1017" max="1271" width="9.140625" style="132"/>
    <col min="1272" max="1272" width="5.42578125" style="132" customWidth="1"/>
    <col min="1273" max="1527" width="9.140625" style="132"/>
    <col min="1528" max="1528" width="5.42578125" style="132" customWidth="1"/>
    <col min="1529" max="1783" width="9.140625" style="132"/>
    <col min="1784" max="1784" width="5.42578125" style="132" customWidth="1"/>
    <col min="1785" max="2039" width="9.140625" style="132"/>
    <col min="2040" max="2040" width="5.42578125" style="132" customWidth="1"/>
    <col min="2041" max="2295" width="9.140625" style="132"/>
    <col min="2296" max="2296" width="5.42578125" style="132" customWidth="1"/>
    <col min="2297" max="2551" width="9.140625" style="132"/>
    <col min="2552" max="2552" width="5.42578125" style="132" customWidth="1"/>
    <col min="2553" max="2807" width="9.140625" style="132"/>
    <col min="2808" max="2808" width="5.42578125" style="132" customWidth="1"/>
    <col min="2809" max="3063" width="9.140625" style="132"/>
    <col min="3064" max="3064" width="5.42578125" style="132" customWidth="1"/>
    <col min="3065" max="3319" width="9.140625" style="132"/>
    <col min="3320" max="3320" width="5.42578125" style="132" customWidth="1"/>
    <col min="3321" max="3575" width="9.140625" style="132"/>
    <col min="3576" max="3576" width="5.42578125" style="132" customWidth="1"/>
    <col min="3577" max="3831" width="9.140625" style="132"/>
    <col min="3832" max="3832" width="5.42578125" style="132" customWidth="1"/>
    <col min="3833" max="4087" width="9.140625" style="132"/>
    <col min="4088" max="4088" width="5.42578125" style="132" customWidth="1"/>
    <col min="4089" max="4343" width="9.140625" style="132"/>
    <col min="4344" max="4344" width="5.42578125" style="132" customWidth="1"/>
    <col min="4345" max="4599" width="9.140625" style="132"/>
    <col min="4600" max="4600" width="5.42578125" style="132" customWidth="1"/>
    <col min="4601" max="4855" width="9.140625" style="132"/>
    <col min="4856" max="4856" width="5.42578125" style="132" customWidth="1"/>
    <col min="4857" max="5111" width="9.140625" style="132"/>
    <col min="5112" max="5112" width="5.42578125" style="132" customWidth="1"/>
    <col min="5113" max="5367" width="9.140625" style="132"/>
    <col min="5368" max="5368" width="5.42578125" style="132" customWidth="1"/>
    <col min="5369" max="5623" width="9.140625" style="132"/>
    <col min="5624" max="5624" width="5.42578125" style="132" customWidth="1"/>
    <col min="5625" max="5879" width="9.140625" style="132"/>
    <col min="5880" max="5880" width="5.42578125" style="132" customWidth="1"/>
    <col min="5881" max="6135" width="9.140625" style="132"/>
    <col min="6136" max="6136" width="5.42578125" style="132" customWidth="1"/>
    <col min="6137" max="6391" width="9.140625" style="132"/>
    <col min="6392" max="6392" width="5.42578125" style="132" customWidth="1"/>
    <col min="6393" max="6647" width="9.140625" style="132"/>
    <col min="6648" max="6648" width="5.42578125" style="132" customWidth="1"/>
    <col min="6649" max="6903" width="9.140625" style="132"/>
    <col min="6904" max="6904" width="5.42578125" style="132" customWidth="1"/>
    <col min="6905" max="7159" width="9.140625" style="132"/>
    <col min="7160" max="7160" width="5.42578125" style="132" customWidth="1"/>
    <col min="7161" max="7415" width="9.140625" style="132"/>
    <col min="7416" max="7416" width="5.42578125" style="132" customWidth="1"/>
    <col min="7417" max="7671" width="9.140625" style="132"/>
    <col min="7672" max="7672" width="5.42578125" style="132" customWidth="1"/>
    <col min="7673" max="7927" width="9.140625" style="132"/>
    <col min="7928" max="7928" width="5.42578125" style="132" customWidth="1"/>
    <col min="7929" max="8183" width="9.140625" style="132"/>
    <col min="8184" max="8184" width="5.42578125" style="132" customWidth="1"/>
    <col min="8185" max="8439" width="9.140625" style="132"/>
    <col min="8440" max="8440" width="5.42578125" style="132" customWidth="1"/>
    <col min="8441" max="8695" width="9.140625" style="132"/>
    <col min="8696" max="8696" width="5.42578125" style="132" customWidth="1"/>
    <col min="8697" max="8951" width="9.140625" style="132"/>
    <col min="8952" max="8952" width="5.42578125" style="132" customWidth="1"/>
    <col min="8953" max="9207" width="9.140625" style="132"/>
    <col min="9208" max="9208" width="5.42578125" style="132" customWidth="1"/>
    <col min="9209" max="9463" width="9.140625" style="132"/>
    <col min="9464" max="9464" width="5.42578125" style="132" customWidth="1"/>
    <col min="9465" max="9719" width="9.140625" style="132"/>
    <col min="9720" max="9720" width="5.42578125" style="132" customWidth="1"/>
    <col min="9721" max="9975" width="9.140625" style="132"/>
    <col min="9976" max="9976" width="5.42578125" style="132" customWidth="1"/>
    <col min="9977" max="10231" width="9.140625" style="132"/>
    <col min="10232" max="10232" width="5.42578125" style="132" customWidth="1"/>
    <col min="10233" max="10487" width="9.140625" style="132"/>
    <col min="10488" max="10488" width="5.42578125" style="132" customWidth="1"/>
    <col min="10489" max="10743" width="9.140625" style="132"/>
    <col min="10744" max="10744" width="5.42578125" style="132" customWidth="1"/>
    <col min="10745" max="10999" width="9.140625" style="132"/>
    <col min="11000" max="11000" width="5.42578125" style="132" customWidth="1"/>
    <col min="11001" max="11255" width="9.140625" style="132"/>
    <col min="11256" max="11256" width="5.42578125" style="132" customWidth="1"/>
    <col min="11257" max="11511" width="9.140625" style="132"/>
    <col min="11512" max="11512" width="5.42578125" style="132" customWidth="1"/>
    <col min="11513" max="11767" width="9.140625" style="132"/>
    <col min="11768" max="11768" width="5.42578125" style="132" customWidth="1"/>
    <col min="11769" max="12023" width="9.140625" style="132"/>
    <col min="12024" max="12024" width="5.42578125" style="132" customWidth="1"/>
    <col min="12025" max="12279" width="9.140625" style="132"/>
    <col min="12280" max="12280" width="5.42578125" style="132" customWidth="1"/>
    <col min="12281" max="12535" width="9.140625" style="132"/>
    <col min="12536" max="12536" width="5.42578125" style="132" customWidth="1"/>
    <col min="12537" max="12791" width="9.140625" style="132"/>
    <col min="12792" max="12792" width="5.42578125" style="132" customWidth="1"/>
    <col min="12793" max="13047" width="9.140625" style="132"/>
    <col min="13048" max="13048" width="5.42578125" style="132" customWidth="1"/>
    <col min="13049" max="13303" width="9.140625" style="132"/>
    <col min="13304" max="13304" width="5.42578125" style="132" customWidth="1"/>
    <col min="13305" max="13559" width="9.140625" style="132"/>
    <col min="13560" max="13560" width="5.42578125" style="132" customWidth="1"/>
    <col min="13561" max="13815" width="9.140625" style="132"/>
    <col min="13816" max="13816" width="5.42578125" style="132" customWidth="1"/>
    <col min="13817" max="14071" width="9.140625" style="132"/>
    <col min="14072" max="14072" width="5.42578125" style="132" customWidth="1"/>
    <col min="14073" max="14327" width="9.140625" style="132"/>
    <col min="14328" max="14328" width="5.42578125" style="132" customWidth="1"/>
    <col min="14329" max="14583" width="9.140625" style="132"/>
    <col min="14584" max="14584" width="5.42578125" style="132" customWidth="1"/>
    <col min="14585" max="14839" width="9.140625" style="132"/>
    <col min="14840" max="14840" width="5.42578125" style="132" customWidth="1"/>
    <col min="14841" max="15095" width="9.140625" style="132"/>
    <col min="15096" max="15096" width="5.42578125" style="132" customWidth="1"/>
    <col min="15097" max="15351" width="9.140625" style="132"/>
    <col min="15352" max="15352" width="5.42578125" style="132" customWidth="1"/>
    <col min="15353" max="15607" width="9.140625" style="132"/>
    <col min="15608" max="15608" width="5.42578125" style="132" customWidth="1"/>
    <col min="15609" max="15863" width="9.140625" style="132"/>
    <col min="15864" max="15864" width="5.42578125" style="132" customWidth="1"/>
    <col min="15865" max="16119" width="9.140625" style="132"/>
    <col min="16120" max="16120" width="5.42578125" style="132" customWidth="1"/>
    <col min="16121" max="16384" width="9.140625" style="132"/>
  </cols>
  <sheetData>
    <row r="1" spans="1:9">
      <c r="A1" s="238"/>
      <c r="B1" s="238"/>
      <c r="C1" s="238"/>
      <c r="D1" s="238"/>
      <c r="E1" s="238"/>
      <c r="F1" s="238"/>
      <c r="G1" s="238"/>
      <c r="H1" s="238"/>
      <c r="I1" s="349" t="s">
        <v>47</v>
      </c>
    </row>
    <row r="2" spans="1:9">
      <c r="A2" s="238"/>
      <c r="B2" s="238"/>
      <c r="C2" s="238"/>
      <c r="D2" s="238"/>
      <c r="E2" s="238"/>
      <c r="F2" s="238"/>
      <c r="G2" s="238"/>
      <c r="H2" s="238"/>
      <c r="I2" s="349" t="s">
        <v>27</v>
      </c>
    </row>
    <row r="3" spans="1:9" ht="51" customHeight="1">
      <c r="A3" s="590" t="s">
        <v>476</v>
      </c>
      <c r="B3" s="590"/>
      <c r="C3" s="590"/>
      <c r="D3" s="590"/>
      <c r="E3" s="590"/>
      <c r="F3" s="590"/>
      <c r="G3" s="590"/>
      <c r="H3" s="590"/>
      <c r="I3" s="590"/>
    </row>
    <row r="4" spans="1:9" ht="6.75" customHeight="1">
      <c r="A4" s="350"/>
      <c r="B4" s="350"/>
      <c r="C4" s="350"/>
      <c r="D4" s="350"/>
      <c r="E4" s="350"/>
      <c r="F4" s="350"/>
      <c r="G4" s="350"/>
      <c r="H4" s="350"/>
      <c r="I4" s="350"/>
    </row>
    <row r="5" spans="1:9" ht="29.25" customHeight="1">
      <c r="A5" s="586" t="s">
        <v>477</v>
      </c>
      <c r="B5" s="586"/>
      <c r="C5" s="586"/>
      <c r="D5" s="586"/>
      <c r="E5" s="586"/>
      <c r="F5" s="586"/>
      <c r="G5" s="586"/>
      <c r="H5" s="586"/>
      <c r="I5" s="586"/>
    </row>
    <row r="6" spans="1:9" ht="7.5" customHeight="1">
      <c r="A6" s="239"/>
      <c r="B6" s="239"/>
      <c r="C6" s="239"/>
      <c r="D6" s="239"/>
      <c r="E6" s="239"/>
      <c r="F6" s="239"/>
      <c r="G6" s="239"/>
      <c r="H6" s="239"/>
      <c r="I6" s="239"/>
    </row>
    <row r="7" spans="1:9" ht="15.75">
      <c r="A7" s="238"/>
      <c r="B7" s="351" t="s">
        <v>478</v>
      </c>
      <c r="C7" s="352"/>
      <c r="D7" s="352"/>
      <c r="E7" s="238"/>
      <c r="F7" s="238"/>
      <c r="G7" s="238"/>
      <c r="H7" s="238"/>
      <c r="I7" s="238"/>
    </row>
    <row r="8" spans="1:9" ht="8.25" customHeight="1">
      <c r="A8" s="238"/>
      <c r="B8" s="353"/>
      <c r="C8" s="238"/>
      <c r="D8" s="238"/>
      <c r="E8" s="238"/>
      <c r="F8" s="238"/>
      <c r="G8" s="238"/>
      <c r="H8" s="238"/>
      <c r="I8" s="238"/>
    </row>
    <row r="9" spans="1:9" ht="14.25" customHeight="1">
      <c r="A9" s="238"/>
      <c r="B9" s="353" t="s">
        <v>49</v>
      </c>
      <c r="C9" s="238"/>
      <c r="D9" s="238"/>
      <c r="E9" s="238"/>
      <c r="F9" s="238"/>
      <c r="G9" s="238"/>
      <c r="H9" s="238"/>
      <c r="I9" s="238"/>
    </row>
    <row r="10" spans="1:9" ht="16.5" customHeight="1">
      <c r="A10" s="238"/>
      <c r="B10" s="591" t="s">
        <v>479</v>
      </c>
      <c r="C10" s="591"/>
      <c r="D10" s="591"/>
      <c r="E10" s="591"/>
      <c r="F10" s="591"/>
      <c r="G10" s="591"/>
      <c r="H10" s="591"/>
      <c r="I10" s="591"/>
    </row>
    <row r="11" spans="1:9" ht="15.75" customHeight="1">
      <c r="A11" s="238"/>
      <c r="B11" s="591" t="s">
        <v>480</v>
      </c>
      <c r="C11" s="591"/>
      <c r="D11" s="591"/>
      <c r="E11" s="591"/>
      <c r="F11" s="591"/>
      <c r="G11" s="591"/>
      <c r="H11" s="591"/>
      <c r="I11" s="591"/>
    </row>
    <row r="12" spans="1:9" ht="13.5" customHeight="1">
      <c r="A12" s="238"/>
      <c r="B12" s="591" t="s">
        <v>481</v>
      </c>
      <c r="C12" s="591"/>
      <c r="D12" s="591"/>
      <c r="E12" s="591"/>
      <c r="F12" s="591"/>
      <c r="G12" s="591"/>
      <c r="H12" s="591"/>
      <c r="I12" s="591"/>
    </row>
    <row r="13" spans="1:9" ht="13.5" customHeight="1">
      <c r="A13" s="238"/>
      <c r="B13" s="591" t="s">
        <v>482</v>
      </c>
      <c r="C13" s="591"/>
      <c r="D13" s="591"/>
      <c r="E13" s="591"/>
      <c r="F13" s="591"/>
      <c r="G13" s="591"/>
      <c r="H13" s="591"/>
      <c r="I13" s="591"/>
    </row>
    <row r="14" spans="1:9" ht="27.75" customHeight="1">
      <c r="A14" s="238"/>
      <c r="B14" s="586" t="s">
        <v>483</v>
      </c>
      <c r="C14" s="586"/>
      <c r="D14" s="586"/>
      <c r="E14" s="586"/>
      <c r="F14" s="586"/>
      <c r="G14" s="586"/>
      <c r="H14" s="586"/>
      <c r="I14" s="586"/>
    </row>
    <row r="15" spans="1:9" ht="5.25" customHeight="1">
      <c r="A15" s="354"/>
      <c r="B15" s="591"/>
      <c r="C15" s="591"/>
      <c r="D15" s="591"/>
      <c r="E15" s="355"/>
      <c r="F15" s="355"/>
      <c r="G15" s="355"/>
      <c r="H15" s="355"/>
      <c r="I15" s="355"/>
    </row>
    <row r="16" spans="1:9" ht="27" customHeight="1">
      <c r="A16" s="586" t="s">
        <v>484</v>
      </c>
      <c r="B16" s="586"/>
      <c r="C16" s="586"/>
      <c r="D16" s="586"/>
      <c r="E16" s="586"/>
      <c r="F16" s="586"/>
      <c r="G16" s="586"/>
      <c r="H16" s="586"/>
      <c r="I16" s="586"/>
    </row>
    <row r="17" spans="1:11" ht="5.25" customHeight="1">
      <c r="A17" s="238"/>
      <c r="B17" s="353"/>
      <c r="C17" s="238"/>
      <c r="D17" s="238"/>
      <c r="E17" s="238"/>
      <c r="F17" s="238"/>
      <c r="G17" s="238"/>
      <c r="H17" s="238"/>
      <c r="I17" s="238"/>
    </row>
    <row r="18" spans="1:11" ht="18.75">
      <c r="A18" s="238"/>
      <c r="B18" s="351" t="s">
        <v>553</v>
      </c>
      <c r="C18" s="356"/>
      <c r="D18" s="356"/>
      <c r="E18" s="356"/>
      <c r="F18" s="356"/>
      <c r="G18" s="356"/>
      <c r="H18" s="238"/>
      <c r="I18" s="238"/>
    </row>
    <row r="19" spans="1:11" ht="9.75" customHeight="1">
      <c r="A19" s="238"/>
      <c r="B19" s="356"/>
      <c r="C19" s="356"/>
      <c r="D19" s="356"/>
      <c r="E19" s="356"/>
      <c r="F19" s="238"/>
      <c r="G19" s="238"/>
      <c r="H19" s="238"/>
      <c r="I19" s="238"/>
    </row>
    <row r="20" spans="1:11">
      <c r="A20" s="238"/>
      <c r="B20" s="353" t="s">
        <v>49</v>
      </c>
      <c r="C20" s="238"/>
      <c r="D20" s="238"/>
      <c r="E20" s="238"/>
      <c r="F20" s="238"/>
      <c r="G20" s="238"/>
      <c r="H20" s="238"/>
      <c r="I20" s="238"/>
    </row>
    <row r="21" spans="1:11" ht="24.75" customHeight="1">
      <c r="A21" s="238"/>
      <c r="B21" s="586" t="s">
        <v>554</v>
      </c>
      <c r="C21" s="586"/>
      <c r="D21" s="586"/>
      <c r="E21" s="586"/>
      <c r="F21" s="586"/>
      <c r="G21" s="586"/>
      <c r="H21" s="586"/>
      <c r="I21" s="586"/>
    </row>
    <row r="22" spans="1:11" ht="15.75" customHeight="1">
      <c r="A22" s="238"/>
      <c r="B22" s="591" t="s">
        <v>555</v>
      </c>
      <c r="C22" s="591"/>
      <c r="D22" s="591"/>
      <c r="E22" s="591"/>
      <c r="F22" s="591"/>
      <c r="G22" s="591"/>
      <c r="H22" s="591"/>
      <c r="I22" s="591"/>
    </row>
    <row r="23" spans="1:11" ht="24.75" customHeight="1">
      <c r="A23" s="238"/>
      <c r="B23" s="589" t="s">
        <v>556</v>
      </c>
      <c r="C23" s="589"/>
      <c r="D23" s="589"/>
      <c r="E23" s="589"/>
      <c r="F23" s="589"/>
      <c r="G23" s="589"/>
      <c r="H23" s="589"/>
      <c r="I23" s="589"/>
    </row>
    <row r="24" spans="1:11" ht="3.75" customHeight="1">
      <c r="A24" s="238"/>
      <c r="B24" s="238"/>
      <c r="C24" s="238"/>
      <c r="D24" s="238"/>
      <c r="E24" s="238"/>
      <c r="F24" s="238"/>
      <c r="G24" s="238"/>
      <c r="H24" s="238"/>
      <c r="I24" s="238"/>
    </row>
    <row r="25" spans="1:11" ht="28.5" customHeight="1">
      <c r="A25" s="586" t="s">
        <v>485</v>
      </c>
      <c r="B25" s="586"/>
      <c r="C25" s="586"/>
      <c r="D25" s="586"/>
      <c r="E25" s="586"/>
      <c r="F25" s="586"/>
      <c r="G25" s="586"/>
      <c r="H25" s="586"/>
      <c r="I25" s="586"/>
    </row>
    <row r="26" spans="1:11" ht="9" customHeight="1">
      <c r="A26" s="238"/>
      <c r="B26" s="238"/>
      <c r="C26" s="238"/>
      <c r="D26" s="238"/>
      <c r="E26" s="238"/>
      <c r="F26" s="238"/>
      <c r="G26" s="238"/>
      <c r="H26" s="238"/>
      <c r="I26" s="238"/>
    </row>
    <row r="27" spans="1:11" ht="9.75" customHeight="1">
      <c r="A27" s="238"/>
      <c r="B27" s="238"/>
      <c r="C27" s="238"/>
      <c r="D27" s="238"/>
      <c r="E27" s="238"/>
      <c r="F27" s="238"/>
      <c r="G27" s="238"/>
      <c r="H27" s="238"/>
      <c r="I27" s="238"/>
    </row>
    <row r="28" spans="1:11" ht="18.75">
      <c r="A28" s="238"/>
      <c r="B28" s="587" t="s">
        <v>557</v>
      </c>
      <c r="C28" s="587"/>
      <c r="D28" s="587"/>
      <c r="E28" s="587"/>
      <c r="F28" s="587"/>
      <c r="G28" s="587"/>
      <c r="H28" s="587"/>
      <c r="I28" s="587"/>
      <c r="K28" s="134"/>
    </row>
    <row r="29" spans="1:11" ht="12" customHeight="1">
      <c r="A29" s="238"/>
      <c r="B29" s="357"/>
      <c r="C29" s="357"/>
      <c r="D29" s="357"/>
      <c r="E29" s="357"/>
      <c r="F29" s="357"/>
      <c r="G29" s="357"/>
      <c r="H29" s="357"/>
      <c r="I29" s="357"/>
    </row>
    <row r="30" spans="1:11">
      <c r="A30" s="238"/>
      <c r="B30" s="238" t="s">
        <v>49</v>
      </c>
      <c r="C30" s="238"/>
      <c r="D30" s="238"/>
      <c r="E30" s="238"/>
      <c r="F30" s="238"/>
      <c r="G30" s="238"/>
      <c r="H30" s="238"/>
      <c r="I30" s="238"/>
    </row>
    <row r="31" spans="1:11" ht="26.25" customHeight="1">
      <c r="A31" s="238"/>
      <c r="B31" s="588" t="s">
        <v>558</v>
      </c>
      <c r="C31" s="588"/>
      <c r="D31" s="588"/>
      <c r="E31" s="588"/>
      <c r="F31" s="588"/>
      <c r="G31" s="588"/>
      <c r="H31" s="588"/>
      <c r="I31" s="588"/>
    </row>
    <row r="32" spans="1:11" ht="26.25" customHeight="1">
      <c r="A32" s="238"/>
      <c r="B32" s="589" t="s">
        <v>559</v>
      </c>
      <c r="C32" s="589"/>
      <c r="D32" s="589"/>
      <c r="E32" s="589"/>
      <c r="F32" s="589"/>
      <c r="G32" s="589"/>
      <c r="H32" s="589"/>
      <c r="I32" s="589"/>
    </row>
    <row r="33" spans="1:11" ht="15.75" customHeight="1">
      <c r="A33" s="238"/>
      <c r="B33" s="589" t="s">
        <v>560</v>
      </c>
      <c r="C33" s="589"/>
      <c r="D33" s="589"/>
      <c r="E33" s="589"/>
      <c r="F33" s="589"/>
      <c r="G33" s="589"/>
      <c r="H33" s="589"/>
      <c r="I33" s="589"/>
    </row>
    <row r="34" spans="1:11" ht="7.5" customHeight="1">
      <c r="A34" s="238"/>
      <c r="B34" s="238"/>
      <c r="C34" s="238"/>
      <c r="D34" s="238"/>
      <c r="E34" s="238"/>
      <c r="F34" s="238"/>
      <c r="G34" s="238"/>
      <c r="H34" s="238"/>
      <c r="I34" s="238"/>
    </row>
    <row r="35" spans="1:11" ht="54" customHeight="1">
      <c r="A35" s="586" t="s">
        <v>561</v>
      </c>
      <c r="B35" s="586"/>
      <c r="C35" s="586"/>
      <c r="D35" s="586"/>
      <c r="E35" s="586"/>
      <c r="F35" s="586"/>
      <c r="G35" s="586"/>
      <c r="H35" s="586"/>
      <c r="I35" s="586"/>
    </row>
    <row r="36" spans="1:11" ht="7.5" customHeight="1">
      <c r="A36" s="238"/>
      <c r="B36" s="238"/>
      <c r="C36" s="238"/>
      <c r="D36" s="238"/>
      <c r="E36" s="238"/>
      <c r="F36" s="238"/>
      <c r="G36" s="238"/>
      <c r="H36" s="238"/>
      <c r="I36" s="238"/>
    </row>
    <row r="37" spans="1:11" ht="16.5" customHeight="1">
      <c r="A37" s="238"/>
      <c r="B37" s="358" t="s">
        <v>562</v>
      </c>
      <c r="C37" s="238"/>
      <c r="D37" s="238"/>
      <c r="E37" s="238"/>
      <c r="F37" s="238"/>
      <c r="G37" s="238"/>
      <c r="H37" s="238"/>
      <c r="I37" s="238"/>
      <c r="K37" s="135"/>
    </row>
    <row r="38" spans="1:11" ht="6.75" customHeight="1">
      <c r="A38" s="238"/>
      <c r="B38" s="238"/>
      <c r="C38" s="238"/>
      <c r="D38" s="238"/>
      <c r="E38" s="238"/>
      <c r="F38" s="238"/>
      <c r="G38" s="238"/>
      <c r="H38" s="238"/>
      <c r="I38" s="238"/>
      <c r="K38" s="135"/>
    </row>
    <row r="39" spans="1:11" s="133" customFormat="1" ht="27.75" customHeight="1">
      <c r="A39" s="585" t="s">
        <v>486</v>
      </c>
      <c r="B39" s="585"/>
      <c r="C39" s="585"/>
      <c r="D39" s="585"/>
      <c r="E39" s="585"/>
      <c r="F39" s="585"/>
      <c r="G39" s="585"/>
      <c r="H39" s="585"/>
      <c r="I39" s="585"/>
      <c r="K39" s="136"/>
    </row>
    <row r="40" spans="1:11" ht="7.5" customHeight="1">
      <c r="A40" s="238"/>
      <c r="B40" s="238"/>
      <c r="C40" s="238"/>
      <c r="D40" s="238"/>
      <c r="E40" s="359"/>
      <c r="F40" s="238"/>
      <c r="G40" s="238"/>
      <c r="H40" s="238"/>
      <c r="I40" s="238"/>
    </row>
    <row r="41" spans="1:11" ht="15.75">
      <c r="A41" s="238"/>
      <c r="B41" s="359" t="s">
        <v>563</v>
      </c>
      <c r="C41" s="359"/>
      <c r="D41" s="359"/>
      <c r="E41" s="238"/>
      <c r="F41" s="238"/>
      <c r="G41" s="238"/>
      <c r="H41" s="238"/>
      <c r="I41" s="238"/>
    </row>
    <row r="42" spans="1:11" ht="7.5" customHeight="1">
      <c r="A42" s="238"/>
      <c r="B42" s="238"/>
      <c r="C42" s="238"/>
      <c r="D42" s="238"/>
      <c r="E42" s="238"/>
      <c r="F42" s="238"/>
      <c r="G42" s="238"/>
      <c r="H42" s="238"/>
      <c r="I42" s="238"/>
    </row>
    <row r="43" spans="1:11" ht="24.75" customHeight="1">
      <c r="A43" s="238"/>
      <c r="B43" s="586" t="s">
        <v>564</v>
      </c>
      <c r="C43" s="586"/>
      <c r="D43" s="586"/>
      <c r="E43" s="586"/>
      <c r="F43" s="586"/>
      <c r="G43" s="586"/>
      <c r="H43" s="586"/>
      <c r="I43" s="586"/>
    </row>
    <row r="44" spans="1:11" ht="25.5" customHeight="1">
      <c r="A44" s="238"/>
      <c r="B44" s="586" t="s">
        <v>565</v>
      </c>
      <c r="C44" s="586"/>
      <c r="D44" s="586"/>
      <c r="E44" s="586"/>
      <c r="F44" s="586"/>
      <c r="G44" s="586"/>
      <c r="H44" s="586"/>
      <c r="I44" s="586"/>
    </row>
    <row r="45" spans="1:11">
      <c r="A45" s="238"/>
      <c r="B45" s="238"/>
      <c r="C45" s="238"/>
      <c r="D45" s="238"/>
      <c r="E45" s="238"/>
      <c r="F45" s="238"/>
      <c r="G45" s="238"/>
      <c r="H45" s="238"/>
      <c r="I45" s="238"/>
    </row>
    <row r="46" spans="1:11">
      <c r="A46" s="238"/>
      <c r="B46" s="238"/>
      <c r="C46" s="238"/>
      <c r="D46" s="238"/>
      <c r="E46" s="238"/>
      <c r="F46" s="238"/>
      <c r="G46" s="238"/>
      <c r="H46" s="238"/>
      <c r="I46" s="238"/>
    </row>
    <row r="47" spans="1:11">
      <c r="A47" s="238"/>
      <c r="B47" s="238"/>
      <c r="C47" s="238"/>
      <c r="D47" s="238"/>
      <c r="E47" s="238"/>
      <c r="F47" s="238"/>
      <c r="G47" s="238"/>
      <c r="H47" s="238"/>
      <c r="I47" s="238"/>
    </row>
  </sheetData>
  <mergeCells count="21">
    <mergeCell ref="B23:I23"/>
    <mergeCell ref="A3:I3"/>
    <mergeCell ref="A5:I5"/>
    <mergeCell ref="B10:I10"/>
    <mergeCell ref="B11:I11"/>
    <mergeCell ref="B12:I12"/>
    <mergeCell ref="B13:I13"/>
    <mergeCell ref="B14:I14"/>
    <mergeCell ref="B15:D15"/>
    <mergeCell ref="A16:I16"/>
    <mergeCell ref="B21:I21"/>
    <mergeCell ref="B22:I22"/>
    <mergeCell ref="A39:I39"/>
    <mergeCell ref="B43:I43"/>
    <mergeCell ref="B44:I44"/>
    <mergeCell ref="A25:I25"/>
    <mergeCell ref="B28:I28"/>
    <mergeCell ref="B31:I31"/>
    <mergeCell ref="B32:I32"/>
    <mergeCell ref="B33:I33"/>
    <mergeCell ref="A35:I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2B9E9-9A49-4D11-AFF8-6E08F9C072EA}">
  <dimension ref="A1:I115"/>
  <sheetViews>
    <sheetView topLeftCell="A74" workbookViewId="0">
      <selection activeCell="A74" sqref="A74:I114"/>
    </sheetView>
  </sheetViews>
  <sheetFormatPr defaultRowHeight="12.75"/>
  <cols>
    <col min="1" max="1" width="5.42578125" style="238" customWidth="1"/>
    <col min="2" max="8" width="9.140625" style="238"/>
    <col min="9" max="9" width="14.42578125" style="238" customWidth="1"/>
    <col min="10" max="237" width="9.140625" style="238"/>
    <col min="238" max="238" width="5.42578125" style="238" customWidth="1"/>
    <col min="239" max="493" width="9.140625" style="238"/>
    <col min="494" max="494" width="5.42578125" style="238" customWidth="1"/>
    <col min="495" max="749" width="9.140625" style="238"/>
    <col min="750" max="750" width="5.42578125" style="238" customWidth="1"/>
    <col min="751" max="1005" width="9.140625" style="238"/>
    <col min="1006" max="1006" width="5.42578125" style="238" customWidth="1"/>
    <col min="1007" max="1261" width="9.140625" style="238"/>
    <col min="1262" max="1262" width="5.42578125" style="238" customWidth="1"/>
    <col min="1263" max="1517" width="9.140625" style="238"/>
    <col min="1518" max="1518" width="5.42578125" style="238" customWidth="1"/>
    <col min="1519" max="1773" width="9.140625" style="238"/>
    <col min="1774" max="1774" width="5.42578125" style="238" customWidth="1"/>
    <col min="1775" max="2029" width="9.140625" style="238"/>
    <col min="2030" max="2030" width="5.42578125" style="238" customWidth="1"/>
    <col min="2031" max="2285" width="9.140625" style="238"/>
    <col min="2286" max="2286" width="5.42578125" style="238" customWidth="1"/>
    <col min="2287" max="2541" width="9.140625" style="238"/>
    <col min="2542" max="2542" width="5.42578125" style="238" customWidth="1"/>
    <col min="2543" max="2797" width="9.140625" style="238"/>
    <col min="2798" max="2798" width="5.42578125" style="238" customWidth="1"/>
    <col min="2799" max="3053" width="9.140625" style="238"/>
    <col min="3054" max="3054" width="5.42578125" style="238" customWidth="1"/>
    <col min="3055" max="3309" width="9.140625" style="238"/>
    <col min="3310" max="3310" width="5.42578125" style="238" customWidth="1"/>
    <col min="3311" max="3565" width="9.140625" style="238"/>
    <col min="3566" max="3566" width="5.42578125" style="238" customWidth="1"/>
    <col min="3567" max="3821" width="9.140625" style="238"/>
    <col min="3822" max="3822" width="5.42578125" style="238" customWidth="1"/>
    <col min="3823" max="4077" width="9.140625" style="238"/>
    <col min="4078" max="4078" width="5.42578125" style="238" customWidth="1"/>
    <col min="4079" max="4333" width="9.140625" style="238"/>
    <col min="4334" max="4334" width="5.42578125" style="238" customWidth="1"/>
    <col min="4335" max="4589" width="9.140625" style="238"/>
    <col min="4590" max="4590" width="5.42578125" style="238" customWidth="1"/>
    <col min="4591" max="4845" width="9.140625" style="238"/>
    <col min="4846" max="4846" width="5.42578125" style="238" customWidth="1"/>
    <col min="4847" max="5101" width="9.140625" style="238"/>
    <col min="5102" max="5102" width="5.42578125" style="238" customWidth="1"/>
    <col min="5103" max="5357" width="9.140625" style="238"/>
    <col min="5358" max="5358" width="5.42578125" style="238" customWidth="1"/>
    <col min="5359" max="5613" width="9.140625" style="238"/>
    <col min="5614" max="5614" width="5.42578125" style="238" customWidth="1"/>
    <col min="5615" max="5869" width="9.140625" style="238"/>
    <col min="5870" max="5870" width="5.42578125" style="238" customWidth="1"/>
    <col min="5871" max="6125" width="9.140625" style="238"/>
    <col min="6126" max="6126" width="5.42578125" style="238" customWidth="1"/>
    <col min="6127" max="6381" width="9.140625" style="238"/>
    <col min="6382" max="6382" width="5.42578125" style="238" customWidth="1"/>
    <col min="6383" max="6637" width="9.140625" style="238"/>
    <col min="6638" max="6638" width="5.42578125" style="238" customWidth="1"/>
    <col min="6639" max="6893" width="9.140625" style="238"/>
    <col min="6894" max="6894" width="5.42578125" style="238" customWidth="1"/>
    <col min="6895" max="7149" width="9.140625" style="238"/>
    <col min="7150" max="7150" width="5.42578125" style="238" customWidth="1"/>
    <col min="7151" max="7405" width="9.140625" style="238"/>
    <col min="7406" max="7406" width="5.42578125" style="238" customWidth="1"/>
    <col min="7407" max="7661" width="9.140625" style="238"/>
    <col min="7662" max="7662" width="5.42578125" style="238" customWidth="1"/>
    <col min="7663" max="7917" width="9.140625" style="238"/>
    <col min="7918" max="7918" width="5.42578125" style="238" customWidth="1"/>
    <col min="7919" max="8173" width="9.140625" style="238"/>
    <col min="8174" max="8174" width="5.42578125" style="238" customWidth="1"/>
    <col min="8175" max="8429" width="9.140625" style="238"/>
    <col min="8430" max="8430" width="5.42578125" style="238" customWidth="1"/>
    <col min="8431" max="8685" width="9.140625" style="238"/>
    <col min="8686" max="8686" width="5.42578125" style="238" customWidth="1"/>
    <col min="8687" max="8941" width="9.140625" style="238"/>
    <col min="8942" max="8942" width="5.42578125" style="238" customWidth="1"/>
    <col min="8943" max="9197" width="9.140625" style="238"/>
    <col min="9198" max="9198" width="5.42578125" style="238" customWidth="1"/>
    <col min="9199" max="9453" width="9.140625" style="238"/>
    <col min="9454" max="9454" width="5.42578125" style="238" customWidth="1"/>
    <col min="9455" max="9709" width="9.140625" style="238"/>
    <col min="9710" max="9710" width="5.42578125" style="238" customWidth="1"/>
    <col min="9711" max="9965" width="9.140625" style="238"/>
    <col min="9966" max="9966" width="5.42578125" style="238" customWidth="1"/>
    <col min="9967" max="10221" width="9.140625" style="238"/>
    <col min="10222" max="10222" width="5.42578125" style="238" customWidth="1"/>
    <col min="10223" max="10477" width="9.140625" style="238"/>
    <col min="10478" max="10478" width="5.42578125" style="238" customWidth="1"/>
    <col min="10479" max="10733" width="9.140625" style="238"/>
    <col min="10734" max="10734" width="5.42578125" style="238" customWidth="1"/>
    <col min="10735" max="10989" width="9.140625" style="238"/>
    <col min="10990" max="10990" width="5.42578125" style="238" customWidth="1"/>
    <col min="10991" max="11245" width="9.140625" style="238"/>
    <col min="11246" max="11246" width="5.42578125" style="238" customWidth="1"/>
    <col min="11247" max="11501" width="9.140625" style="238"/>
    <col min="11502" max="11502" width="5.42578125" style="238" customWidth="1"/>
    <col min="11503" max="11757" width="9.140625" style="238"/>
    <col min="11758" max="11758" width="5.42578125" style="238" customWidth="1"/>
    <col min="11759" max="12013" width="9.140625" style="238"/>
    <col min="12014" max="12014" width="5.42578125" style="238" customWidth="1"/>
    <col min="12015" max="12269" width="9.140625" style="238"/>
    <col min="12270" max="12270" width="5.42578125" style="238" customWidth="1"/>
    <col min="12271" max="12525" width="9.140625" style="238"/>
    <col min="12526" max="12526" width="5.42578125" style="238" customWidth="1"/>
    <col min="12527" max="12781" width="9.140625" style="238"/>
    <col min="12782" max="12782" width="5.42578125" style="238" customWidth="1"/>
    <col min="12783" max="13037" width="9.140625" style="238"/>
    <col min="13038" max="13038" width="5.42578125" style="238" customWidth="1"/>
    <col min="13039" max="13293" width="9.140625" style="238"/>
    <col min="13294" max="13294" width="5.42578125" style="238" customWidth="1"/>
    <col min="13295" max="13549" width="9.140625" style="238"/>
    <col min="13550" max="13550" width="5.42578125" style="238" customWidth="1"/>
    <col min="13551" max="13805" width="9.140625" style="238"/>
    <col min="13806" max="13806" width="5.42578125" style="238" customWidth="1"/>
    <col min="13807" max="14061" width="9.140625" style="238"/>
    <col min="14062" max="14062" width="5.42578125" style="238" customWidth="1"/>
    <col min="14063" max="14317" width="9.140625" style="238"/>
    <col min="14318" max="14318" width="5.42578125" style="238" customWidth="1"/>
    <col min="14319" max="14573" width="9.140625" style="238"/>
    <col min="14574" max="14574" width="5.42578125" style="238" customWidth="1"/>
    <col min="14575" max="14829" width="9.140625" style="238"/>
    <col min="14830" max="14830" width="5.42578125" style="238" customWidth="1"/>
    <col min="14831" max="15085" width="9.140625" style="238"/>
    <col min="15086" max="15086" width="5.42578125" style="238" customWidth="1"/>
    <col min="15087" max="15341" width="9.140625" style="238"/>
    <col min="15342" max="15342" width="5.42578125" style="238" customWidth="1"/>
    <col min="15343" max="15597" width="9.140625" style="238"/>
    <col min="15598" max="15598" width="5.42578125" style="238" customWidth="1"/>
    <col min="15599" max="15853" width="9.140625" style="238"/>
    <col min="15854" max="15854" width="5.42578125" style="238" customWidth="1"/>
    <col min="15855" max="16109" width="9.140625" style="238"/>
    <col min="16110" max="16110" width="5.42578125" style="238" customWidth="1"/>
    <col min="16111" max="16384" width="9.140625" style="238"/>
  </cols>
  <sheetData>
    <row r="1" spans="1:9">
      <c r="I1" s="349" t="s">
        <v>47</v>
      </c>
    </row>
    <row r="2" spans="1:9">
      <c r="I2" s="349" t="s">
        <v>32</v>
      </c>
    </row>
    <row r="3" spans="1:9" ht="51" customHeight="1">
      <c r="A3" s="590" t="s">
        <v>487</v>
      </c>
      <c r="B3" s="590"/>
      <c r="C3" s="590"/>
      <c r="D3" s="590"/>
      <c r="E3" s="590"/>
      <c r="F3" s="590"/>
      <c r="G3" s="590"/>
      <c r="H3" s="590"/>
      <c r="I3" s="590"/>
    </row>
    <row r="4" spans="1:9" ht="29.25" customHeight="1">
      <c r="A4" s="586" t="s">
        <v>477</v>
      </c>
      <c r="B4" s="586"/>
      <c r="C4" s="586"/>
      <c r="D4" s="586"/>
      <c r="E4" s="586"/>
      <c r="F4" s="586"/>
      <c r="G4" s="586"/>
      <c r="H4" s="586"/>
      <c r="I4" s="586"/>
    </row>
    <row r="5" spans="1:9" ht="7.5" customHeight="1">
      <c r="A5" s="533"/>
      <c r="B5" s="533"/>
      <c r="C5" s="533"/>
      <c r="D5" s="533"/>
      <c r="E5" s="533"/>
      <c r="F5" s="533"/>
      <c r="G5" s="533"/>
      <c r="H5" s="533"/>
      <c r="I5" s="533"/>
    </row>
    <row r="6" spans="1:9" ht="15.75">
      <c r="B6" s="351" t="s">
        <v>478</v>
      </c>
      <c r="C6" s="352"/>
      <c r="D6" s="352"/>
    </row>
    <row r="7" spans="1:9" ht="6.75" customHeight="1">
      <c r="B7" s="353"/>
    </row>
    <row r="8" spans="1:9">
      <c r="B8" s="353" t="s">
        <v>49</v>
      </c>
    </row>
    <row r="9" spans="1:9">
      <c r="B9" s="591" t="s">
        <v>479</v>
      </c>
      <c r="C9" s="591"/>
      <c r="D9" s="591"/>
      <c r="E9" s="591"/>
      <c r="F9" s="591"/>
      <c r="G9" s="591"/>
      <c r="H9" s="591"/>
      <c r="I9" s="591"/>
    </row>
    <row r="10" spans="1:9">
      <c r="B10" s="591" t="s">
        <v>480</v>
      </c>
      <c r="C10" s="591"/>
      <c r="D10" s="591"/>
      <c r="E10" s="591"/>
      <c r="F10" s="591"/>
      <c r="G10" s="591"/>
      <c r="H10" s="591"/>
      <c r="I10" s="591"/>
    </row>
    <row r="11" spans="1:9">
      <c r="B11" s="591" t="s">
        <v>481</v>
      </c>
      <c r="C11" s="591"/>
      <c r="D11" s="591"/>
      <c r="E11" s="591"/>
      <c r="F11" s="591"/>
      <c r="G11" s="591"/>
      <c r="H11" s="591"/>
      <c r="I11" s="591"/>
    </row>
    <row r="12" spans="1:9">
      <c r="B12" s="591" t="s">
        <v>482</v>
      </c>
      <c r="C12" s="591"/>
      <c r="D12" s="591"/>
      <c r="E12" s="591"/>
      <c r="F12" s="591"/>
      <c r="G12" s="591"/>
      <c r="H12" s="591"/>
      <c r="I12" s="591"/>
    </row>
    <row r="13" spans="1:9" ht="25.5" customHeight="1">
      <c r="B13" s="586" t="s">
        <v>483</v>
      </c>
      <c r="C13" s="586"/>
      <c r="D13" s="586"/>
      <c r="E13" s="586"/>
      <c r="F13" s="586"/>
      <c r="G13" s="586"/>
      <c r="H13" s="586"/>
      <c r="I13" s="586"/>
    </row>
    <row r="14" spans="1:9" ht="9" customHeight="1">
      <c r="A14" s="533"/>
      <c r="B14" s="240"/>
      <c r="C14" s="240"/>
      <c r="D14" s="533"/>
      <c r="E14" s="533"/>
      <c r="F14" s="533"/>
      <c r="G14" s="533"/>
      <c r="H14" s="533"/>
      <c r="I14" s="533"/>
    </row>
    <row r="15" spans="1:9" ht="27" customHeight="1">
      <c r="A15" s="586" t="s">
        <v>488</v>
      </c>
      <c r="B15" s="586"/>
      <c r="C15" s="586"/>
      <c r="D15" s="586"/>
      <c r="E15" s="586"/>
      <c r="F15" s="586"/>
      <c r="G15" s="586"/>
      <c r="H15" s="586"/>
      <c r="I15" s="586"/>
    </row>
    <row r="16" spans="1:9" ht="14.25" customHeight="1">
      <c r="A16" s="533"/>
      <c r="B16" s="240"/>
      <c r="C16" s="240"/>
      <c r="D16" s="533"/>
      <c r="E16" s="533"/>
      <c r="F16" s="533"/>
      <c r="G16" s="533"/>
      <c r="H16" s="533"/>
      <c r="I16" s="533"/>
    </row>
    <row r="17" spans="1:9" ht="18" customHeight="1">
      <c r="A17" s="533"/>
      <c r="B17" s="593" t="s">
        <v>566</v>
      </c>
      <c r="C17" s="593"/>
      <c r="D17" s="593"/>
      <c r="E17" s="593"/>
      <c r="F17" s="593"/>
      <c r="G17" s="593"/>
    </row>
    <row r="18" spans="1:9" ht="18" customHeight="1">
      <c r="A18" s="533"/>
      <c r="B18" s="238" t="s">
        <v>49</v>
      </c>
    </row>
    <row r="19" spans="1:9" ht="28.5" customHeight="1">
      <c r="A19" s="533"/>
      <c r="B19" s="586" t="s">
        <v>567</v>
      </c>
      <c r="C19" s="586"/>
      <c r="D19" s="586"/>
      <c r="E19" s="586"/>
      <c r="F19" s="586"/>
      <c r="G19" s="586"/>
      <c r="H19" s="586"/>
      <c r="I19" s="586"/>
    </row>
    <row r="20" spans="1:9" ht="23.25" customHeight="1">
      <c r="A20" s="533"/>
      <c r="B20" s="591" t="s">
        <v>568</v>
      </c>
      <c r="C20" s="591"/>
      <c r="D20" s="591"/>
      <c r="E20" s="591"/>
      <c r="F20" s="591"/>
      <c r="G20" s="591"/>
      <c r="H20" s="591"/>
      <c r="I20" s="591"/>
    </row>
    <row r="21" spans="1:9" ht="29.25" customHeight="1">
      <c r="A21" s="533"/>
      <c r="B21" s="586" t="s">
        <v>569</v>
      </c>
      <c r="C21" s="586"/>
      <c r="D21" s="586"/>
      <c r="E21" s="586"/>
      <c r="F21" s="586"/>
      <c r="G21" s="586"/>
      <c r="H21" s="586"/>
      <c r="I21" s="586"/>
    </row>
    <row r="22" spans="1:9" ht="18" customHeight="1">
      <c r="A22" s="533"/>
      <c r="B22" s="240"/>
      <c r="C22" s="240"/>
      <c r="D22" s="533"/>
      <c r="E22" s="533"/>
      <c r="F22" s="533"/>
      <c r="G22" s="533"/>
      <c r="H22" s="533"/>
      <c r="I22" s="533"/>
    </row>
    <row r="23" spans="1:9" ht="25.5" customHeight="1">
      <c r="A23" s="586" t="s">
        <v>570</v>
      </c>
      <c r="B23" s="586"/>
      <c r="C23" s="586"/>
      <c r="D23" s="586"/>
      <c r="E23" s="586"/>
      <c r="F23" s="586"/>
      <c r="G23" s="586"/>
      <c r="H23" s="586"/>
      <c r="I23" s="586"/>
    </row>
    <row r="24" spans="1:9" ht="18" customHeight="1">
      <c r="A24" s="533"/>
      <c r="B24" s="240"/>
      <c r="C24" s="240"/>
      <c r="D24" s="533"/>
      <c r="E24" s="533"/>
      <c r="F24" s="533"/>
      <c r="G24" s="533"/>
      <c r="H24" s="533"/>
      <c r="I24" s="533"/>
    </row>
    <row r="25" spans="1:9" ht="18" customHeight="1">
      <c r="A25" s="533"/>
      <c r="B25" s="593" t="s">
        <v>628</v>
      </c>
      <c r="C25" s="593"/>
      <c r="D25" s="593"/>
      <c r="E25" s="593"/>
      <c r="F25" s="593"/>
      <c r="G25" s="593"/>
    </row>
    <row r="26" spans="1:9" ht="18" customHeight="1">
      <c r="A26" s="533"/>
      <c r="B26" s="238" t="s">
        <v>49</v>
      </c>
    </row>
    <row r="27" spans="1:9" ht="26.25" customHeight="1">
      <c r="A27" s="533"/>
      <c r="B27" s="586" t="s">
        <v>571</v>
      </c>
      <c r="C27" s="586"/>
      <c r="D27" s="586"/>
      <c r="E27" s="586"/>
      <c r="F27" s="586"/>
      <c r="G27" s="586"/>
      <c r="H27" s="586"/>
      <c r="I27" s="586"/>
    </row>
    <row r="28" spans="1:9" ht="30.75" customHeight="1">
      <c r="A28" s="533"/>
      <c r="B28" s="586" t="s">
        <v>572</v>
      </c>
      <c r="C28" s="586"/>
      <c r="D28" s="586"/>
      <c r="E28" s="586"/>
      <c r="F28" s="586"/>
      <c r="G28" s="586"/>
      <c r="H28" s="586"/>
      <c r="I28" s="586"/>
    </row>
    <row r="29" spans="1:9" ht="30" customHeight="1">
      <c r="A29" s="533"/>
      <c r="B29" s="586" t="s">
        <v>629</v>
      </c>
      <c r="C29" s="586"/>
      <c r="D29" s="586"/>
      <c r="E29" s="586"/>
      <c r="F29" s="586"/>
      <c r="G29" s="586"/>
      <c r="H29" s="586"/>
      <c r="I29" s="586"/>
    </row>
    <row r="30" spans="1:9" ht="18" customHeight="1">
      <c r="A30" s="533"/>
      <c r="B30" s="240"/>
      <c r="C30" s="240"/>
      <c r="D30" s="533"/>
      <c r="E30" s="533"/>
      <c r="F30" s="533"/>
      <c r="G30" s="533"/>
      <c r="H30" s="533"/>
      <c r="I30" s="533"/>
    </row>
    <row r="31" spans="1:9" ht="23.25" customHeight="1">
      <c r="A31" s="586" t="s">
        <v>625</v>
      </c>
      <c r="B31" s="586"/>
      <c r="C31" s="586"/>
      <c r="D31" s="586"/>
      <c r="E31" s="586"/>
      <c r="F31" s="586"/>
      <c r="G31" s="586"/>
      <c r="H31" s="586"/>
      <c r="I31" s="586"/>
    </row>
    <row r="32" spans="1:9" ht="15.75" customHeight="1">
      <c r="A32" s="533"/>
      <c r="B32" s="240"/>
      <c r="C32" s="240"/>
      <c r="D32" s="533"/>
      <c r="E32" s="533"/>
      <c r="F32" s="533"/>
      <c r="G32" s="533"/>
      <c r="H32" s="533"/>
      <c r="I32" s="533"/>
    </row>
    <row r="33" spans="1:9" ht="18" customHeight="1">
      <c r="A33" s="533"/>
      <c r="B33" s="593" t="s">
        <v>573</v>
      </c>
      <c r="C33" s="593"/>
      <c r="D33" s="593"/>
      <c r="E33" s="593"/>
      <c r="F33" s="593"/>
      <c r="G33" s="593"/>
    </row>
    <row r="34" spans="1:9" ht="18" customHeight="1">
      <c r="A34" s="533"/>
      <c r="B34" s="238" t="s">
        <v>49</v>
      </c>
    </row>
    <row r="35" spans="1:9" ht="24.75" customHeight="1">
      <c r="A35" s="533"/>
      <c r="B35" s="586" t="s">
        <v>574</v>
      </c>
      <c r="C35" s="586"/>
      <c r="D35" s="586"/>
      <c r="E35" s="586"/>
      <c r="F35" s="586"/>
      <c r="G35" s="586"/>
      <c r="H35" s="586"/>
      <c r="I35" s="586"/>
    </row>
    <row r="36" spans="1:9" ht="20.25" customHeight="1">
      <c r="A36" s="533"/>
      <c r="B36" s="591" t="s">
        <v>568</v>
      </c>
      <c r="C36" s="591"/>
      <c r="D36" s="591"/>
      <c r="E36" s="591"/>
      <c r="F36" s="591"/>
      <c r="G36" s="591"/>
      <c r="H36" s="591"/>
      <c r="I36" s="591"/>
    </row>
    <row r="37" spans="1:9" ht="28.5" customHeight="1">
      <c r="A37" s="533"/>
      <c r="B37" s="586" t="s">
        <v>575</v>
      </c>
      <c r="C37" s="586"/>
      <c r="D37" s="586"/>
      <c r="E37" s="586"/>
      <c r="F37" s="586"/>
      <c r="G37" s="586"/>
      <c r="H37" s="586"/>
      <c r="I37" s="586"/>
    </row>
    <row r="38" spans="1:9" ht="20.25" customHeight="1">
      <c r="A38" s="533"/>
      <c r="B38" s="533"/>
      <c r="C38" s="533"/>
      <c r="D38" s="533"/>
      <c r="E38" s="533"/>
      <c r="F38" s="533"/>
      <c r="G38" s="533"/>
      <c r="H38" s="533"/>
      <c r="I38" s="349" t="s">
        <v>47</v>
      </c>
    </row>
    <row r="39" spans="1:9" ht="18" customHeight="1">
      <c r="A39" s="533"/>
      <c r="B39" s="240"/>
      <c r="C39" s="240"/>
      <c r="D39" s="533"/>
      <c r="E39" s="533"/>
      <c r="F39" s="533"/>
      <c r="G39" s="533"/>
      <c r="H39" s="533"/>
      <c r="I39" s="349" t="s">
        <v>0</v>
      </c>
    </row>
    <row r="40" spans="1:9" ht="11.25" customHeight="1">
      <c r="A40" s="533"/>
      <c r="B40" s="240"/>
      <c r="C40" s="240"/>
      <c r="D40" s="533"/>
      <c r="E40" s="533"/>
      <c r="F40" s="533"/>
      <c r="G40" s="533"/>
      <c r="H40" s="533"/>
      <c r="I40" s="349"/>
    </row>
    <row r="41" spans="1:9" ht="30.75" customHeight="1">
      <c r="A41" s="586" t="s">
        <v>576</v>
      </c>
      <c r="B41" s="586"/>
      <c r="C41" s="586"/>
      <c r="D41" s="586"/>
      <c r="E41" s="586"/>
      <c r="F41" s="586"/>
      <c r="G41" s="586"/>
      <c r="H41" s="586"/>
      <c r="I41" s="586"/>
    </row>
    <row r="42" spans="1:9" ht="14.25" customHeight="1">
      <c r="A42" s="533"/>
      <c r="B42" s="240"/>
      <c r="C42" s="240"/>
      <c r="D42" s="533"/>
      <c r="E42" s="533"/>
      <c r="F42" s="533"/>
      <c r="G42" s="533"/>
      <c r="H42" s="533"/>
      <c r="I42" s="533"/>
    </row>
    <row r="43" spans="1:9" ht="18" customHeight="1">
      <c r="A43" s="533"/>
      <c r="B43" s="593" t="s">
        <v>577</v>
      </c>
      <c r="C43" s="593"/>
      <c r="D43" s="593"/>
      <c r="E43" s="593"/>
      <c r="F43" s="593"/>
      <c r="G43" s="593"/>
    </row>
    <row r="44" spans="1:9" ht="19.5" customHeight="1">
      <c r="A44" s="533"/>
      <c r="B44" s="238" t="s">
        <v>49</v>
      </c>
    </row>
    <row r="45" spans="1:9" ht="27.75" customHeight="1">
      <c r="A45" s="533"/>
      <c r="B45" s="586" t="s">
        <v>578</v>
      </c>
      <c r="C45" s="586"/>
      <c r="D45" s="586"/>
      <c r="E45" s="586"/>
      <c r="F45" s="586"/>
      <c r="G45" s="586"/>
      <c r="H45" s="586"/>
      <c r="I45" s="586"/>
    </row>
    <row r="46" spans="1:9" ht="27" customHeight="1">
      <c r="A46" s="533"/>
      <c r="B46" s="586" t="s">
        <v>579</v>
      </c>
      <c r="C46" s="586"/>
      <c r="D46" s="586"/>
      <c r="E46" s="586"/>
      <c r="F46" s="586"/>
      <c r="G46" s="586"/>
      <c r="H46" s="586"/>
      <c r="I46" s="586"/>
    </row>
    <row r="47" spans="1:9" ht="15.75" customHeight="1">
      <c r="A47" s="533"/>
      <c r="B47" s="586" t="s">
        <v>580</v>
      </c>
      <c r="C47" s="586"/>
      <c r="D47" s="586"/>
      <c r="E47" s="586"/>
      <c r="F47" s="586"/>
      <c r="G47" s="586"/>
      <c r="H47" s="586"/>
      <c r="I47" s="586"/>
    </row>
    <row r="48" spans="1:9" ht="15.75" customHeight="1">
      <c r="A48" s="533"/>
      <c r="B48" s="240"/>
      <c r="C48" s="240"/>
      <c r="D48" s="533"/>
      <c r="E48" s="533"/>
      <c r="F48" s="533"/>
      <c r="G48" s="533"/>
      <c r="H48" s="533"/>
      <c r="I48" s="533"/>
    </row>
    <row r="49" spans="1:9" ht="18" customHeight="1">
      <c r="A49" s="586" t="s">
        <v>626</v>
      </c>
      <c r="B49" s="586"/>
      <c r="C49" s="586"/>
      <c r="D49" s="586"/>
      <c r="E49" s="586"/>
      <c r="F49" s="586"/>
      <c r="G49" s="586"/>
      <c r="H49" s="586"/>
      <c r="I49" s="586"/>
    </row>
    <row r="50" spans="1:9" ht="18" customHeight="1">
      <c r="A50" s="533"/>
      <c r="B50" s="240"/>
      <c r="C50" s="240"/>
      <c r="D50" s="533"/>
      <c r="E50" s="533"/>
      <c r="F50" s="533"/>
      <c r="G50" s="533"/>
      <c r="H50" s="533"/>
      <c r="I50" s="533"/>
    </row>
    <row r="51" spans="1:9" ht="18" customHeight="1">
      <c r="A51" s="533"/>
      <c r="B51" s="593" t="s">
        <v>581</v>
      </c>
      <c r="C51" s="593"/>
      <c r="D51" s="593"/>
      <c r="E51" s="593"/>
      <c r="F51" s="593"/>
      <c r="G51" s="593"/>
    </row>
    <row r="52" spans="1:9" ht="21" customHeight="1">
      <c r="A52" s="533"/>
      <c r="B52" s="238" t="s">
        <v>49</v>
      </c>
    </row>
    <row r="53" spans="1:9" ht="26.25" customHeight="1">
      <c r="A53" s="533"/>
      <c r="B53" s="586" t="s">
        <v>582</v>
      </c>
      <c r="C53" s="586"/>
      <c r="D53" s="586"/>
      <c r="E53" s="586"/>
      <c r="F53" s="586"/>
      <c r="G53" s="586"/>
      <c r="H53" s="586"/>
      <c r="I53" s="586"/>
    </row>
    <row r="54" spans="1:9" ht="21.75" customHeight="1">
      <c r="A54" s="533"/>
      <c r="B54" s="591" t="s">
        <v>568</v>
      </c>
      <c r="C54" s="591"/>
      <c r="D54" s="591"/>
      <c r="E54" s="591"/>
      <c r="F54" s="591"/>
      <c r="G54" s="591"/>
      <c r="H54" s="591"/>
      <c r="I54" s="591"/>
    </row>
    <row r="55" spans="1:9" ht="26.25" customHeight="1">
      <c r="A55" s="533"/>
      <c r="B55" s="586" t="s">
        <v>583</v>
      </c>
      <c r="C55" s="586"/>
      <c r="D55" s="586"/>
      <c r="E55" s="586"/>
      <c r="F55" s="586"/>
      <c r="G55" s="586"/>
      <c r="H55" s="586"/>
      <c r="I55" s="586"/>
    </row>
    <row r="56" spans="1:9" ht="18" customHeight="1">
      <c r="A56" s="533"/>
      <c r="B56" s="240"/>
      <c r="C56" s="240"/>
      <c r="D56" s="533"/>
      <c r="E56" s="533"/>
      <c r="F56" s="533"/>
      <c r="G56" s="533"/>
      <c r="H56" s="533"/>
      <c r="I56" s="533"/>
    </row>
    <row r="57" spans="1:9" ht="25.5" customHeight="1">
      <c r="A57" s="586" t="s">
        <v>584</v>
      </c>
      <c r="B57" s="586"/>
      <c r="C57" s="586"/>
      <c r="D57" s="586"/>
      <c r="E57" s="586"/>
      <c r="F57" s="586"/>
      <c r="G57" s="586"/>
      <c r="H57" s="586"/>
      <c r="I57" s="586"/>
    </row>
    <row r="58" spans="1:9" ht="18" customHeight="1">
      <c r="A58" s="533"/>
      <c r="B58" s="240"/>
      <c r="C58" s="240"/>
      <c r="D58" s="533"/>
      <c r="E58" s="533"/>
      <c r="F58" s="533"/>
      <c r="G58" s="533"/>
      <c r="H58" s="533"/>
      <c r="I58" s="533"/>
    </row>
    <row r="59" spans="1:9" ht="18" customHeight="1">
      <c r="A59" s="533"/>
      <c r="B59" s="593" t="s">
        <v>585</v>
      </c>
      <c r="C59" s="593"/>
      <c r="D59" s="593"/>
      <c r="E59" s="593"/>
      <c r="F59" s="593"/>
      <c r="G59" s="593"/>
    </row>
    <row r="60" spans="1:9" ht="19.5" customHeight="1">
      <c r="A60" s="533"/>
      <c r="B60" s="238" t="s">
        <v>49</v>
      </c>
    </row>
    <row r="61" spans="1:9" ht="27" customHeight="1">
      <c r="A61" s="533"/>
      <c r="B61" s="586" t="s">
        <v>586</v>
      </c>
      <c r="C61" s="586"/>
      <c r="D61" s="586"/>
      <c r="E61" s="586"/>
      <c r="F61" s="586"/>
      <c r="G61" s="586"/>
      <c r="H61" s="586"/>
      <c r="I61" s="586"/>
    </row>
    <row r="62" spans="1:9" ht="25.5" customHeight="1">
      <c r="A62" s="533"/>
      <c r="B62" s="586" t="s">
        <v>587</v>
      </c>
      <c r="C62" s="586"/>
      <c r="D62" s="586"/>
      <c r="E62" s="586"/>
      <c r="F62" s="586"/>
      <c r="G62" s="586"/>
      <c r="H62" s="586"/>
      <c r="I62" s="586"/>
    </row>
    <row r="63" spans="1:9" ht="24.75" customHeight="1">
      <c r="A63" s="533"/>
      <c r="B63" s="586" t="s">
        <v>588</v>
      </c>
      <c r="C63" s="586"/>
      <c r="D63" s="586"/>
      <c r="E63" s="586"/>
      <c r="F63" s="586"/>
      <c r="G63" s="586"/>
      <c r="H63" s="586"/>
      <c r="I63" s="586"/>
    </row>
    <row r="64" spans="1:9" ht="18" customHeight="1">
      <c r="A64" s="533"/>
      <c r="B64" s="240"/>
      <c r="C64" s="240"/>
      <c r="D64" s="533"/>
      <c r="E64" s="533"/>
      <c r="F64" s="533"/>
      <c r="G64" s="533"/>
      <c r="H64" s="533"/>
      <c r="I64" s="533"/>
    </row>
    <row r="65" spans="1:9" ht="25.5" customHeight="1">
      <c r="A65" s="589" t="s">
        <v>627</v>
      </c>
      <c r="B65" s="589"/>
      <c r="C65" s="589"/>
      <c r="D65" s="589"/>
      <c r="E65" s="589"/>
      <c r="F65" s="589"/>
      <c r="G65" s="589"/>
      <c r="H65" s="589"/>
      <c r="I65" s="589"/>
    </row>
    <row r="66" spans="1:9" ht="9.75" customHeight="1"/>
    <row r="67" spans="1:9" ht="18.75">
      <c r="B67" s="593" t="s">
        <v>589</v>
      </c>
      <c r="C67" s="593"/>
      <c r="D67" s="593"/>
      <c r="E67" s="593"/>
      <c r="F67" s="593"/>
      <c r="G67" s="593"/>
    </row>
    <row r="68" spans="1:9" ht="22.5" customHeight="1">
      <c r="B68" s="238" t="s">
        <v>49</v>
      </c>
    </row>
    <row r="69" spans="1:9" ht="25.5" customHeight="1">
      <c r="B69" s="586" t="s">
        <v>590</v>
      </c>
      <c r="C69" s="586"/>
      <c r="D69" s="586"/>
      <c r="E69" s="586"/>
      <c r="F69" s="586"/>
      <c r="G69" s="586"/>
      <c r="H69" s="586"/>
      <c r="I69" s="586"/>
    </row>
    <row r="70" spans="1:9" ht="14.25">
      <c r="B70" s="591" t="s">
        <v>568</v>
      </c>
      <c r="C70" s="591"/>
      <c r="D70" s="591"/>
      <c r="E70" s="591"/>
      <c r="F70" s="591"/>
      <c r="G70" s="591"/>
      <c r="H70" s="591"/>
      <c r="I70" s="591"/>
    </row>
    <row r="71" spans="1:9" ht="27.75" customHeight="1">
      <c r="B71" s="586" t="s">
        <v>591</v>
      </c>
      <c r="C71" s="586"/>
      <c r="D71" s="586"/>
      <c r="E71" s="586"/>
      <c r="F71" s="586"/>
      <c r="G71" s="586"/>
      <c r="H71" s="586"/>
      <c r="I71" s="586"/>
    </row>
    <row r="72" spans="1:9" ht="27.75" customHeight="1">
      <c r="B72" s="533"/>
      <c r="C72" s="533"/>
      <c r="D72" s="533"/>
      <c r="E72" s="533"/>
      <c r="F72" s="533"/>
      <c r="G72" s="533"/>
      <c r="H72" s="533"/>
      <c r="I72" s="533"/>
    </row>
    <row r="73" spans="1:9" ht="15" customHeight="1"/>
    <row r="74" spans="1:9" ht="15" customHeight="1">
      <c r="I74" s="349" t="s">
        <v>47</v>
      </c>
    </row>
    <row r="75" spans="1:9" ht="15" customHeight="1">
      <c r="I75" s="349" t="s">
        <v>50</v>
      </c>
    </row>
    <row r="76" spans="1:9" ht="15" customHeight="1"/>
    <row r="77" spans="1:9" ht="27.75" customHeight="1">
      <c r="A77" s="586" t="s">
        <v>592</v>
      </c>
      <c r="B77" s="586"/>
      <c r="C77" s="586"/>
      <c r="D77" s="586"/>
      <c r="E77" s="586"/>
      <c r="F77" s="586"/>
      <c r="G77" s="586"/>
      <c r="H77" s="586"/>
      <c r="I77" s="586"/>
    </row>
    <row r="78" spans="1:9" ht="9.75" customHeight="1"/>
    <row r="79" spans="1:9" ht="17.25" customHeight="1">
      <c r="B79" s="593" t="s">
        <v>593</v>
      </c>
      <c r="C79" s="593"/>
      <c r="D79" s="593"/>
      <c r="E79" s="593"/>
      <c r="F79" s="593"/>
      <c r="G79" s="593"/>
    </row>
    <row r="80" spans="1:9" ht="13.5" customHeight="1">
      <c r="B80" s="238" t="s">
        <v>49</v>
      </c>
    </row>
    <row r="81" spans="1:9" ht="25.5" customHeight="1">
      <c r="B81" s="586" t="s">
        <v>594</v>
      </c>
      <c r="C81" s="586"/>
      <c r="D81" s="586"/>
      <c r="E81" s="586"/>
      <c r="F81" s="586"/>
      <c r="G81" s="586"/>
      <c r="H81" s="586"/>
      <c r="I81" s="586"/>
    </row>
    <row r="82" spans="1:9" ht="24.75" customHeight="1">
      <c r="B82" s="586" t="s">
        <v>595</v>
      </c>
      <c r="C82" s="586"/>
      <c r="D82" s="586"/>
      <c r="E82" s="586"/>
      <c r="F82" s="586"/>
      <c r="G82" s="586"/>
      <c r="H82" s="586"/>
      <c r="I82" s="586"/>
    </row>
    <row r="83" spans="1:9" ht="27" customHeight="1">
      <c r="B83" s="586" t="s">
        <v>596</v>
      </c>
      <c r="C83" s="586"/>
      <c r="D83" s="586"/>
      <c r="E83" s="586"/>
      <c r="F83" s="586"/>
      <c r="G83" s="586"/>
      <c r="H83" s="586"/>
      <c r="I83" s="586"/>
    </row>
    <row r="84" spans="1:9" ht="6.75" customHeight="1"/>
    <row r="85" spans="1:9" ht="26.25" customHeight="1">
      <c r="A85" s="586" t="s">
        <v>489</v>
      </c>
      <c r="B85" s="586"/>
      <c r="C85" s="586"/>
      <c r="D85" s="586"/>
      <c r="E85" s="586"/>
      <c r="F85" s="586"/>
      <c r="G85" s="586"/>
      <c r="H85" s="586"/>
      <c r="I85" s="586"/>
    </row>
    <row r="86" spans="1:9" ht="9" customHeight="1"/>
    <row r="87" spans="1:9" ht="16.5" customHeight="1">
      <c r="B87" s="593" t="s">
        <v>630</v>
      </c>
      <c r="C87" s="593"/>
      <c r="D87" s="593"/>
      <c r="E87" s="593"/>
      <c r="F87" s="593"/>
      <c r="G87" s="593"/>
    </row>
    <row r="88" spans="1:9">
      <c r="B88" s="238" t="s">
        <v>49</v>
      </c>
    </row>
    <row r="89" spans="1:9" ht="27" customHeight="1">
      <c r="B89" s="586" t="s">
        <v>597</v>
      </c>
      <c r="C89" s="586"/>
      <c r="D89" s="586"/>
      <c r="E89" s="586"/>
      <c r="F89" s="586"/>
      <c r="G89" s="586"/>
      <c r="H89" s="586"/>
      <c r="I89" s="586"/>
    </row>
    <row r="90" spans="1:9" ht="14.25">
      <c r="B90" s="591" t="s">
        <v>568</v>
      </c>
      <c r="C90" s="591"/>
      <c r="D90" s="591"/>
      <c r="E90" s="591"/>
      <c r="F90" s="591"/>
      <c r="G90" s="591"/>
      <c r="H90" s="591"/>
      <c r="I90" s="591"/>
    </row>
    <row r="91" spans="1:9" ht="26.25" customHeight="1">
      <c r="B91" s="586" t="s">
        <v>631</v>
      </c>
      <c r="C91" s="586"/>
      <c r="D91" s="586"/>
      <c r="E91" s="586"/>
      <c r="F91" s="586"/>
      <c r="G91" s="586"/>
      <c r="H91" s="586"/>
      <c r="I91" s="586"/>
    </row>
    <row r="92" spans="1:9" ht="9" customHeight="1"/>
    <row r="93" spans="1:9" ht="27.75" customHeight="1">
      <c r="A93" s="586" t="s">
        <v>598</v>
      </c>
      <c r="B93" s="586"/>
      <c r="C93" s="586"/>
      <c r="D93" s="586"/>
      <c r="E93" s="586"/>
      <c r="F93" s="586"/>
      <c r="G93" s="586"/>
      <c r="H93" s="586"/>
      <c r="I93" s="586"/>
    </row>
    <row r="94" spans="1:9" ht="14.25" customHeight="1">
      <c r="I94" s="349"/>
    </row>
    <row r="95" spans="1:9" ht="18.75">
      <c r="B95" s="359" t="s">
        <v>632</v>
      </c>
      <c r="C95" s="359"/>
      <c r="D95" s="359"/>
      <c r="E95" s="359"/>
    </row>
    <row r="96" spans="1:9">
      <c r="B96" s="238" t="s">
        <v>49</v>
      </c>
    </row>
    <row r="97" spans="1:9" ht="30" customHeight="1">
      <c r="B97" s="586" t="s">
        <v>599</v>
      </c>
      <c r="C97" s="586"/>
      <c r="D97" s="586"/>
      <c r="E97" s="586"/>
      <c r="F97" s="586"/>
      <c r="G97" s="586"/>
      <c r="H97" s="586"/>
      <c r="I97" s="586"/>
    </row>
    <row r="98" spans="1:9" ht="30" customHeight="1">
      <c r="B98" s="586" t="s">
        <v>633</v>
      </c>
      <c r="C98" s="586"/>
      <c r="D98" s="586"/>
      <c r="E98" s="586"/>
      <c r="F98" s="586"/>
      <c r="G98" s="586"/>
      <c r="H98" s="586"/>
      <c r="I98" s="586"/>
    </row>
    <row r="99" spans="1:9" ht="28.5" customHeight="1">
      <c r="B99" s="586" t="s">
        <v>634</v>
      </c>
      <c r="C99" s="586"/>
      <c r="D99" s="586"/>
      <c r="E99" s="586"/>
      <c r="F99" s="586"/>
      <c r="G99" s="586"/>
      <c r="H99" s="586"/>
      <c r="I99" s="586"/>
    </row>
    <row r="101" spans="1:9" ht="9" customHeight="1"/>
    <row r="103" spans="1:9" ht="32.25" customHeight="1">
      <c r="A103" s="592" t="s">
        <v>490</v>
      </c>
      <c r="B103" s="592"/>
      <c r="C103" s="592"/>
      <c r="D103" s="592"/>
      <c r="E103" s="592"/>
      <c r="F103" s="592"/>
      <c r="G103" s="592"/>
      <c r="H103" s="592"/>
      <c r="I103" s="592"/>
    </row>
    <row r="104" spans="1:9" ht="15.75">
      <c r="B104" s="351"/>
      <c r="C104" s="351"/>
      <c r="D104" s="351"/>
      <c r="E104" s="351"/>
      <c r="F104" s="351"/>
      <c r="G104" s="351"/>
      <c r="H104" s="351"/>
      <c r="I104" s="351"/>
    </row>
    <row r="105" spans="1:9" ht="15.75">
      <c r="B105" s="351" t="s">
        <v>125</v>
      </c>
      <c r="C105" s="351"/>
      <c r="D105" s="351"/>
      <c r="E105" s="351"/>
      <c r="F105" s="351"/>
      <c r="G105" s="351"/>
      <c r="H105" s="351"/>
      <c r="I105" s="351"/>
    </row>
    <row r="106" spans="1:9" ht="15.75">
      <c r="B106" s="359"/>
      <c r="C106" s="351"/>
      <c r="D106" s="351"/>
      <c r="E106" s="351"/>
      <c r="F106" s="351"/>
      <c r="G106" s="351"/>
      <c r="H106" s="351"/>
      <c r="I106" s="351"/>
    </row>
    <row r="107" spans="1:9" ht="15.75">
      <c r="B107" s="359" t="s">
        <v>491</v>
      </c>
      <c r="C107" s="351"/>
      <c r="D107" s="351"/>
      <c r="E107" s="351"/>
      <c r="F107" s="351"/>
      <c r="G107" s="351"/>
      <c r="H107" s="351"/>
      <c r="I107" s="351"/>
    </row>
    <row r="108" spans="1:9" ht="15.75">
      <c r="B108" s="359" t="s">
        <v>492</v>
      </c>
      <c r="C108" s="351"/>
      <c r="D108" s="351"/>
      <c r="E108" s="351"/>
      <c r="F108" s="351"/>
      <c r="G108" s="351"/>
      <c r="H108" s="351"/>
      <c r="I108" s="351"/>
    </row>
    <row r="109" spans="1:9" ht="15.75">
      <c r="B109" s="359" t="s">
        <v>493</v>
      </c>
      <c r="C109" s="351"/>
      <c r="D109" s="351"/>
      <c r="E109" s="351"/>
      <c r="F109" s="351"/>
      <c r="G109" s="351"/>
      <c r="H109" s="351"/>
      <c r="I109" s="351"/>
    </row>
    <row r="110" spans="1:9" ht="14.25" customHeight="1">
      <c r="B110" s="351" t="s">
        <v>494</v>
      </c>
      <c r="C110" s="351"/>
      <c r="D110" s="351"/>
      <c r="E110" s="351"/>
      <c r="F110" s="351"/>
      <c r="G110" s="351"/>
      <c r="H110" s="351"/>
      <c r="I110" s="351"/>
    </row>
    <row r="111" spans="1:9" ht="11.25" customHeight="1">
      <c r="B111" s="594"/>
      <c r="C111" s="594"/>
      <c r="D111" s="594"/>
      <c r="E111" s="594"/>
      <c r="F111" s="594"/>
      <c r="G111" s="594"/>
      <c r="H111" s="594"/>
      <c r="I111" s="594"/>
    </row>
    <row r="112" spans="1:9" ht="34.5" customHeight="1">
      <c r="B112" s="594" t="s">
        <v>495</v>
      </c>
      <c r="C112" s="594"/>
      <c r="D112" s="594"/>
      <c r="E112" s="594"/>
      <c r="F112" s="594"/>
      <c r="G112" s="594"/>
      <c r="H112" s="594"/>
      <c r="I112" s="594"/>
    </row>
    <row r="113" spans="2:9" ht="15.75">
      <c r="B113" s="351"/>
      <c r="C113" s="351"/>
      <c r="D113" s="351"/>
      <c r="E113" s="351"/>
      <c r="F113" s="351"/>
      <c r="G113" s="351"/>
      <c r="H113" s="351"/>
      <c r="I113" s="351"/>
    </row>
    <row r="114" spans="2:9" ht="15.75">
      <c r="B114" s="359"/>
      <c r="C114" s="359" t="s">
        <v>496</v>
      </c>
      <c r="D114" s="359"/>
      <c r="E114" s="359"/>
      <c r="F114" s="359"/>
      <c r="G114" s="359"/>
      <c r="H114" s="359"/>
      <c r="I114" s="359"/>
    </row>
    <row r="115" spans="2:9" ht="15">
      <c r="B115" s="119"/>
    </row>
  </sheetData>
  <mergeCells count="59">
    <mergeCell ref="B111:I111"/>
    <mergeCell ref="B112:I112"/>
    <mergeCell ref="B12:I12"/>
    <mergeCell ref="A3:I3"/>
    <mergeCell ref="A4:I4"/>
    <mergeCell ref="B9:I9"/>
    <mergeCell ref="B10:I10"/>
    <mergeCell ref="B11:I11"/>
    <mergeCell ref="A31:I31"/>
    <mergeCell ref="B13:I13"/>
    <mergeCell ref="A15:I15"/>
    <mergeCell ref="B17:G17"/>
    <mergeCell ref="B19:I19"/>
    <mergeCell ref="B20:I20"/>
    <mergeCell ref="B21:I21"/>
    <mergeCell ref="A23:I23"/>
    <mergeCell ref="B25:G25"/>
    <mergeCell ref="B27:I27"/>
    <mergeCell ref="B28:I28"/>
    <mergeCell ref="B29:I29"/>
    <mergeCell ref="B53:I53"/>
    <mergeCell ref="B33:G33"/>
    <mergeCell ref="B35:I35"/>
    <mergeCell ref="B36:I36"/>
    <mergeCell ref="B37:I37"/>
    <mergeCell ref="A41:I41"/>
    <mergeCell ref="B43:G43"/>
    <mergeCell ref="B45:I45"/>
    <mergeCell ref="B46:I46"/>
    <mergeCell ref="B47:I47"/>
    <mergeCell ref="A49:I49"/>
    <mergeCell ref="B51:G51"/>
    <mergeCell ref="B71:I71"/>
    <mergeCell ref="B54:I54"/>
    <mergeCell ref="B55:I55"/>
    <mergeCell ref="A57:I57"/>
    <mergeCell ref="B59:G59"/>
    <mergeCell ref="B61:I61"/>
    <mergeCell ref="B62:I62"/>
    <mergeCell ref="B63:I63"/>
    <mergeCell ref="A65:I65"/>
    <mergeCell ref="B67:G67"/>
    <mergeCell ref="B69:I69"/>
    <mergeCell ref="B70:I70"/>
    <mergeCell ref="B98:I98"/>
    <mergeCell ref="B99:I99"/>
    <mergeCell ref="A103:I103"/>
    <mergeCell ref="B97:I97"/>
    <mergeCell ref="A77:I77"/>
    <mergeCell ref="B79:G79"/>
    <mergeCell ref="B81:I81"/>
    <mergeCell ref="B82:I82"/>
    <mergeCell ref="B83:I83"/>
    <mergeCell ref="A85:I85"/>
    <mergeCell ref="B87:G87"/>
    <mergeCell ref="B89:I89"/>
    <mergeCell ref="B90:I90"/>
    <mergeCell ref="B91:I91"/>
    <mergeCell ref="A93:I9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7"/>
  <sheetViews>
    <sheetView workbookViewId="0">
      <selection activeCell="L43" sqref="L43"/>
    </sheetView>
  </sheetViews>
  <sheetFormatPr defaultRowHeight="15"/>
  <cols>
    <col min="1" max="1" width="37.7109375" style="117" customWidth="1"/>
    <col min="2" max="2" width="11.5703125" style="117" customWidth="1"/>
    <col min="3" max="3" width="12.5703125" style="117" customWidth="1"/>
    <col min="4" max="4" width="11.7109375" style="117" customWidth="1"/>
    <col min="5" max="5" width="12.5703125" style="117" customWidth="1"/>
    <col min="6" max="16384" width="9.140625" style="117"/>
  </cols>
  <sheetData>
    <row r="1" spans="1:5">
      <c r="E1" s="118" t="s">
        <v>242</v>
      </c>
    </row>
    <row r="3" spans="1:5" ht="33" customHeight="1">
      <c r="A3" s="595" t="s">
        <v>176</v>
      </c>
      <c r="B3" s="595"/>
      <c r="C3" s="595"/>
      <c r="D3" s="595"/>
      <c r="E3" s="595"/>
    </row>
    <row r="4" spans="1:5" ht="15" customHeight="1">
      <c r="A4" s="183"/>
      <c r="B4" s="183"/>
      <c r="C4" s="183"/>
      <c r="D4" s="183"/>
      <c r="E4" s="183"/>
    </row>
    <row r="5" spans="1:5" ht="14.25" customHeight="1"/>
    <row r="6" spans="1:5" ht="30.75" customHeight="1">
      <c r="A6" s="596" t="s">
        <v>201</v>
      </c>
      <c r="B6" s="596"/>
      <c r="C6" s="596"/>
      <c r="D6" s="596"/>
      <c r="E6" s="596"/>
    </row>
    <row r="7" spans="1:5" ht="30" customHeight="1">
      <c r="A7" s="596" t="s">
        <v>551</v>
      </c>
      <c r="B7" s="596"/>
      <c r="C7" s="596"/>
      <c r="D7" s="596"/>
      <c r="E7" s="596"/>
    </row>
    <row r="8" spans="1:5" ht="15" customHeight="1"/>
    <row r="9" spans="1:5" ht="34.5" customHeight="1">
      <c r="A9" s="360" t="s">
        <v>178</v>
      </c>
      <c r="B9" s="361" t="s">
        <v>501</v>
      </c>
      <c r="C9" s="362" t="s">
        <v>502</v>
      </c>
      <c r="D9" s="363" t="s">
        <v>418</v>
      </c>
      <c r="E9" s="363" t="s">
        <v>503</v>
      </c>
    </row>
    <row r="10" spans="1:5" ht="22.5" customHeight="1">
      <c r="A10" s="364" t="s">
        <v>177</v>
      </c>
      <c r="B10" s="365">
        <f>B11+B12</f>
        <v>6920334</v>
      </c>
      <c r="C10" s="365">
        <f>C11+C12</f>
        <v>7801729</v>
      </c>
      <c r="D10" s="365">
        <f t="shared" ref="D10" si="0">D11+D12</f>
        <v>8575572</v>
      </c>
      <c r="E10" s="365">
        <f>E11+E12</f>
        <v>9325216</v>
      </c>
    </row>
    <row r="11" spans="1:5" ht="22.5" customHeight="1">
      <c r="A11" s="366" t="s">
        <v>600</v>
      </c>
      <c r="B11" s="367">
        <v>3840785</v>
      </c>
      <c r="C11" s="365">
        <v>4290822</v>
      </c>
      <c r="D11" s="367">
        <v>4716560</v>
      </c>
      <c r="E11" s="368">
        <v>5128854</v>
      </c>
    </row>
    <row r="12" spans="1:5" ht="22.5" customHeight="1">
      <c r="A12" s="366" t="s">
        <v>183</v>
      </c>
      <c r="B12" s="367">
        <v>3079549</v>
      </c>
      <c r="C12" s="365">
        <v>3510907</v>
      </c>
      <c r="D12" s="367">
        <v>3859012</v>
      </c>
      <c r="E12" s="368">
        <v>4196362</v>
      </c>
    </row>
    <row r="13" spans="1:5" ht="18" customHeight="1">
      <c r="E13" s="140"/>
    </row>
    <row r="14" spans="1:5">
      <c r="A14" s="141"/>
      <c r="B14" s="142"/>
      <c r="C14" s="142"/>
      <c r="D14" s="142"/>
      <c r="E14" s="142"/>
    </row>
    <row r="15" spans="1:5">
      <c r="E15" s="140"/>
    </row>
    <row r="16" spans="1:5">
      <c r="E16" s="140"/>
    </row>
    <row r="17" spans="5:5">
      <c r="E17" s="140"/>
    </row>
    <row r="18" spans="5:5">
      <c r="E18" s="140"/>
    </row>
    <row r="19" spans="5:5">
      <c r="E19" s="140"/>
    </row>
    <row r="20" spans="5:5">
      <c r="E20" s="140"/>
    </row>
    <row r="21" spans="5:5">
      <c r="E21" s="140"/>
    </row>
    <row r="22" spans="5:5">
      <c r="E22" s="140"/>
    </row>
    <row r="23" spans="5:5">
      <c r="E23" s="140"/>
    </row>
    <row r="24" spans="5:5">
      <c r="E24" s="140"/>
    </row>
    <row r="25" spans="5:5">
      <c r="E25" s="140"/>
    </row>
    <row r="26" spans="5:5">
      <c r="E26" s="140"/>
    </row>
    <row r="27" spans="5:5">
      <c r="E27" s="140"/>
    </row>
    <row r="28" spans="5:5">
      <c r="E28" s="140"/>
    </row>
    <row r="29" spans="5:5">
      <c r="E29" s="140"/>
    </row>
    <row r="30" spans="5:5">
      <c r="E30" s="140"/>
    </row>
    <row r="31" spans="5:5">
      <c r="E31" s="140"/>
    </row>
    <row r="32" spans="5:5">
      <c r="E32" s="140"/>
    </row>
    <row r="33" spans="5:5">
      <c r="E33" s="140"/>
    </row>
    <row r="34" spans="5:5">
      <c r="E34" s="140"/>
    </row>
    <row r="35" spans="5:5">
      <c r="E35" s="140"/>
    </row>
    <row r="36" spans="5:5">
      <c r="E36" s="140"/>
    </row>
    <row r="37" spans="5:5">
      <c r="E37" s="140"/>
    </row>
    <row r="38" spans="5:5">
      <c r="E38" s="140"/>
    </row>
    <row r="39" spans="5:5">
      <c r="E39" s="140"/>
    </row>
    <row r="40" spans="5:5">
      <c r="E40" s="140"/>
    </row>
    <row r="41" spans="5:5">
      <c r="E41" s="140"/>
    </row>
    <row r="42" spans="5:5">
      <c r="E42" s="140"/>
    </row>
    <row r="43" spans="5:5">
      <c r="E43" s="140"/>
    </row>
    <row r="44" spans="5:5">
      <c r="E44" s="140"/>
    </row>
    <row r="45" spans="5:5">
      <c r="E45" s="140"/>
    </row>
    <row r="46" spans="5:5">
      <c r="E46" s="140"/>
    </row>
    <row r="47" spans="5:5">
      <c r="E47" s="140"/>
    </row>
  </sheetData>
  <mergeCells count="3">
    <mergeCell ref="A3:E3"/>
    <mergeCell ref="A6:E6"/>
    <mergeCell ref="A7:E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82"/>
  <sheetViews>
    <sheetView zoomScale="130" zoomScaleNormal="130" workbookViewId="0">
      <selection activeCell="I85" sqref="I85"/>
    </sheetView>
  </sheetViews>
  <sheetFormatPr defaultRowHeight="15"/>
  <cols>
    <col min="1" max="1" width="8" style="119" customWidth="1"/>
    <col min="2" max="2" width="55" style="119" customWidth="1"/>
    <col min="3" max="3" width="8.42578125" style="119" customWidth="1"/>
    <col min="4" max="4" width="13.28515625" style="119" customWidth="1"/>
    <col min="5" max="6" width="8.140625" style="119" customWidth="1"/>
    <col min="7" max="16384" width="9.140625" style="119"/>
  </cols>
  <sheetData>
    <row r="1" spans="1:6">
      <c r="F1" s="120" t="s">
        <v>175</v>
      </c>
    </row>
    <row r="2" spans="1:6">
      <c r="F2" s="118" t="s">
        <v>6</v>
      </c>
    </row>
    <row r="3" spans="1:6" ht="36" customHeight="1">
      <c r="A3" s="592" t="s">
        <v>550</v>
      </c>
      <c r="B3" s="592"/>
      <c r="C3" s="592"/>
      <c r="D3" s="592"/>
      <c r="F3" s="118"/>
    </row>
    <row r="4" spans="1:6" ht="17.25" customHeight="1">
      <c r="A4" s="592" t="s">
        <v>199</v>
      </c>
      <c r="B4" s="592"/>
      <c r="C4" s="592"/>
      <c r="D4" s="592"/>
      <c r="F4" s="118"/>
    </row>
    <row r="5" spans="1:6" ht="17.25" customHeight="1">
      <c r="A5" s="592" t="s">
        <v>200</v>
      </c>
      <c r="B5" s="592"/>
      <c r="C5" s="592"/>
      <c r="D5" s="592"/>
      <c r="E5" s="118"/>
      <c r="F5" s="118"/>
    </row>
    <row r="6" spans="1:6" ht="9.75" customHeight="1">
      <c r="E6" s="118"/>
      <c r="F6" s="118"/>
    </row>
    <row r="7" spans="1:6" ht="65.25" customHeight="1">
      <c r="A7" s="597" t="s">
        <v>185</v>
      </c>
      <c r="B7" s="597"/>
      <c r="C7" s="597"/>
      <c r="D7" s="597"/>
      <c r="E7" s="597"/>
      <c r="F7" s="597"/>
    </row>
    <row r="8" spans="1:6" ht="51.75" customHeight="1">
      <c r="A8" s="597" t="s">
        <v>601</v>
      </c>
      <c r="B8" s="597"/>
      <c r="C8" s="597"/>
      <c r="D8" s="597"/>
      <c r="E8" s="597"/>
      <c r="F8" s="597"/>
    </row>
    <row r="9" spans="1:6" ht="33.75" customHeight="1">
      <c r="A9" s="121"/>
    </row>
    <row r="10" spans="1:6" ht="33.75" customHeight="1">
      <c r="A10" s="597" t="s">
        <v>186</v>
      </c>
      <c r="B10" s="597"/>
      <c r="C10" s="597"/>
      <c r="D10" s="597"/>
      <c r="E10" s="597"/>
      <c r="F10" s="597"/>
    </row>
    <row r="11" spans="1:6" ht="6.75" customHeight="1">
      <c r="A11" s="122"/>
      <c r="B11" s="122"/>
      <c r="C11" s="122"/>
      <c r="D11" s="122"/>
    </row>
    <row r="12" spans="1:6" ht="16.5" customHeight="1">
      <c r="B12" s="369" t="s">
        <v>393</v>
      </c>
    </row>
    <row r="13" spans="1:6" ht="16.5" customHeight="1">
      <c r="B13" s="369" t="s">
        <v>419</v>
      </c>
    </row>
    <row r="14" spans="1:6" ht="16.5" customHeight="1">
      <c r="B14" s="369" t="s">
        <v>420</v>
      </c>
    </row>
    <row r="15" spans="1:6" ht="16.5" customHeight="1">
      <c r="B15" s="369" t="s">
        <v>527</v>
      </c>
    </row>
    <row r="16" spans="1:6" ht="9" customHeight="1">
      <c r="B16" s="121"/>
    </row>
    <row r="17" spans="1:6" ht="30.75" customHeight="1">
      <c r="A17" s="597" t="s">
        <v>187</v>
      </c>
      <c r="B17" s="597"/>
      <c r="C17" s="597"/>
      <c r="D17" s="597"/>
      <c r="E17" s="597"/>
      <c r="F17" s="597"/>
    </row>
    <row r="18" spans="1:6" ht="14.25" customHeight="1">
      <c r="A18" s="143"/>
    </row>
    <row r="19" spans="1:6" ht="16.5" customHeight="1">
      <c r="B19" s="369" t="s">
        <v>528</v>
      </c>
    </row>
    <row r="20" spans="1:6" ht="16.5" customHeight="1">
      <c r="B20" s="369" t="s">
        <v>529</v>
      </c>
    </row>
    <row r="21" spans="1:6" ht="16.5" customHeight="1">
      <c r="B21" s="369" t="s">
        <v>530</v>
      </c>
    </row>
    <row r="22" spans="1:6" ht="16.5" customHeight="1">
      <c r="B22" s="369" t="s">
        <v>531</v>
      </c>
    </row>
    <row r="23" spans="1:6" ht="8.25" customHeight="1">
      <c r="A23" s="143"/>
    </row>
    <row r="24" spans="1:6" ht="15.75">
      <c r="A24" s="597" t="s">
        <v>188</v>
      </c>
      <c r="B24" s="597"/>
      <c r="C24" s="597"/>
      <c r="D24" s="597"/>
    </row>
    <row r="25" spans="1:6" ht="9.75" customHeight="1">
      <c r="A25" s="143"/>
    </row>
    <row r="26" spans="1:6" ht="17.25" customHeight="1">
      <c r="B26" s="369" t="s">
        <v>602</v>
      </c>
    </row>
    <row r="27" spans="1:6" ht="17.25" customHeight="1">
      <c r="B27" s="369" t="s">
        <v>603</v>
      </c>
    </row>
    <row r="28" spans="1:6" ht="17.25" customHeight="1">
      <c r="B28" s="369" t="s">
        <v>604</v>
      </c>
    </row>
    <row r="29" spans="1:6" ht="17.25" customHeight="1">
      <c r="B29" s="369" t="s">
        <v>605</v>
      </c>
    </row>
    <row r="30" spans="1:6" ht="17.25" customHeight="1">
      <c r="B30" s="369" t="s">
        <v>606</v>
      </c>
    </row>
    <row r="31" spans="1:6" ht="17.25" customHeight="1">
      <c r="B31" s="369" t="s">
        <v>607</v>
      </c>
    </row>
    <row r="32" spans="1:6" ht="17.25" customHeight="1">
      <c r="B32" s="369" t="s">
        <v>608</v>
      </c>
    </row>
    <row r="33" spans="1:6" ht="8.25" customHeight="1">
      <c r="A33" s="143"/>
    </row>
    <row r="34" spans="1:6" ht="15.75">
      <c r="A34" s="597" t="s">
        <v>189</v>
      </c>
      <c r="B34" s="597"/>
      <c r="C34" s="597"/>
      <c r="D34" s="597"/>
    </row>
    <row r="35" spans="1:6" ht="10.5" customHeight="1">
      <c r="A35" s="143"/>
    </row>
    <row r="36" spans="1:6" ht="36.75" customHeight="1">
      <c r="A36" s="598" t="s">
        <v>609</v>
      </c>
      <c r="B36" s="370" t="s">
        <v>532</v>
      </c>
      <c r="C36" s="599" t="s">
        <v>533</v>
      </c>
      <c r="D36" s="599"/>
    </row>
    <row r="37" spans="1:6" ht="28.5" customHeight="1">
      <c r="A37" s="598"/>
      <c r="B37" s="371">
        <v>7</v>
      </c>
      <c r="C37" s="599"/>
      <c r="D37" s="599"/>
    </row>
    <row r="38" spans="1:6" ht="27.75" customHeight="1">
      <c r="A38" s="597" t="s">
        <v>610</v>
      </c>
      <c r="B38" s="597"/>
      <c r="C38" s="597"/>
      <c r="D38" s="597"/>
    </row>
    <row r="39" spans="1:6" ht="66.75" customHeight="1">
      <c r="A39" s="597" t="s">
        <v>619</v>
      </c>
      <c r="B39" s="597"/>
      <c r="C39" s="597"/>
      <c r="D39" s="597"/>
      <c r="E39" s="597"/>
      <c r="F39" s="597"/>
    </row>
    <row r="40" spans="1:6" ht="13.5" customHeight="1">
      <c r="A40" s="122"/>
      <c r="B40" s="122"/>
      <c r="C40" s="122"/>
      <c r="D40" s="122"/>
      <c r="E40" s="122"/>
    </row>
    <row r="41" spans="1:6" ht="15.75">
      <c r="A41" s="122"/>
      <c r="B41" s="122"/>
      <c r="C41" s="122"/>
      <c r="D41" s="122"/>
      <c r="F41" s="120" t="s">
        <v>175</v>
      </c>
    </row>
    <row r="42" spans="1:6" ht="15.75">
      <c r="A42" s="122"/>
      <c r="B42" s="122"/>
      <c r="C42" s="122"/>
      <c r="D42" s="122"/>
      <c r="F42" s="144" t="s">
        <v>27</v>
      </c>
    </row>
    <row r="43" spans="1:6" ht="17.25" customHeight="1">
      <c r="A43" s="600" t="s">
        <v>611</v>
      </c>
      <c r="B43" s="600"/>
      <c r="C43" s="600"/>
      <c r="D43" s="600"/>
      <c r="E43" s="600"/>
      <c r="F43" s="600"/>
    </row>
    <row r="44" spans="1:6" ht="34.5" customHeight="1">
      <c r="A44" s="600" t="s">
        <v>620</v>
      </c>
      <c r="B44" s="600"/>
      <c r="C44" s="600"/>
      <c r="D44" s="600"/>
      <c r="E44" s="600"/>
      <c r="F44" s="600"/>
    </row>
    <row r="45" spans="1:6" ht="8.25" customHeight="1">
      <c r="A45" s="182"/>
      <c r="B45" s="182"/>
      <c r="C45" s="182"/>
      <c r="D45" s="182"/>
      <c r="E45" s="182"/>
    </row>
    <row r="46" spans="1:6" ht="15.75">
      <c r="A46" s="123"/>
      <c r="B46" s="601" t="s">
        <v>614</v>
      </c>
      <c r="C46" s="601"/>
      <c r="D46" s="601"/>
      <c r="E46" s="601"/>
    </row>
    <row r="47" spans="1:6" ht="15.75">
      <c r="A47" s="123"/>
      <c r="B47" s="602" t="s">
        <v>615</v>
      </c>
      <c r="C47" s="601"/>
      <c r="D47" s="601"/>
      <c r="E47" s="601"/>
    </row>
    <row r="48" spans="1:6" ht="15.75">
      <c r="A48" s="123"/>
      <c r="B48" s="601" t="s">
        <v>616</v>
      </c>
      <c r="C48" s="601"/>
      <c r="D48" s="601"/>
      <c r="E48" s="601"/>
    </row>
    <row r="49" spans="1:6" ht="12.75" customHeight="1">
      <c r="A49" s="123"/>
      <c r="B49" s="123"/>
      <c r="C49" s="123"/>
      <c r="D49" s="123"/>
      <c r="E49" s="124"/>
    </row>
    <row r="50" spans="1:6" ht="36" customHeight="1">
      <c r="A50" s="600" t="s">
        <v>612</v>
      </c>
      <c r="B50" s="600"/>
      <c r="C50" s="600"/>
      <c r="D50" s="600"/>
      <c r="E50" s="600"/>
      <c r="F50" s="600"/>
    </row>
    <row r="51" spans="1:6" ht="9" customHeight="1">
      <c r="A51" s="182"/>
      <c r="B51" s="182"/>
      <c r="C51" s="182"/>
      <c r="D51" s="182"/>
      <c r="E51" s="182"/>
    </row>
    <row r="52" spans="1:6" ht="15.75">
      <c r="A52" s="123"/>
      <c r="B52" s="601" t="s">
        <v>552</v>
      </c>
      <c r="C52" s="601"/>
      <c r="D52" s="601"/>
      <c r="E52" s="601"/>
    </row>
    <row r="53" spans="1:6" ht="15.75">
      <c r="A53" s="123"/>
      <c r="B53" s="602" t="s">
        <v>617</v>
      </c>
      <c r="C53" s="601"/>
      <c r="D53" s="601"/>
      <c r="E53" s="601"/>
    </row>
    <row r="54" spans="1:6" ht="15.75">
      <c r="A54" s="123"/>
      <c r="B54" s="601" t="s">
        <v>618</v>
      </c>
      <c r="C54" s="601"/>
      <c r="D54" s="601"/>
      <c r="E54" s="601"/>
    </row>
    <row r="55" spans="1:6" ht="12.75" customHeight="1">
      <c r="A55" s="123"/>
      <c r="B55" s="123"/>
      <c r="C55" s="123"/>
      <c r="D55" s="123"/>
      <c r="E55" s="124"/>
    </row>
    <row r="56" spans="1:6" ht="50.25" customHeight="1">
      <c r="A56" s="600" t="s">
        <v>621</v>
      </c>
      <c r="B56" s="600"/>
      <c r="C56" s="600"/>
      <c r="D56" s="600"/>
      <c r="E56" s="600"/>
      <c r="F56" s="600"/>
    </row>
    <row r="57" spans="1:6" ht="6" customHeight="1">
      <c r="A57" s="122"/>
      <c r="B57" s="125"/>
      <c r="C57" s="125"/>
      <c r="D57" s="125"/>
      <c r="E57" s="125"/>
    </row>
    <row r="58" spans="1:6" ht="33" customHeight="1">
      <c r="A58" s="597" t="s">
        <v>534</v>
      </c>
      <c r="B58" s="597"/>
      <c r="C58" s="597"/>
      <c r="D58" s="597"/>
      <c r="E58" s="597"/>
      <c r="F58" s="597"/>
    </row>
    <row r="59" spans="1:6" ht="13.5" customHeight="1">
      <c r="A59" s="122"/>
      <c r="B59" s="122"/>
      <c r="C59" s="122"/>
      <c r="D59" s="122"/>
    </row>
    <row r="60" spans="1:6" ht="15.75" customHeight="1">
      <c r="B60" s="587" t="s">
        <v>535</v>
      </c>
      <c r="C60" s="587"/>
    </row>
    <row r="61" spans="1:6" ht="17.25">
      <c r="B61" s="121" t="s">
        <v>613</v>
      </c>
    </row>
    <row r="62" spans="1:6" ht="15.75">
      <c r="B62" s="121" t="s">
        <v>536</v>
      </c>
    </row>
    <row r="63" spans="1:6" ht="9.75" customHeight="1">
      <c r="A63" s="121"/>
    </row>
    <row r="64" spans="1:6" ht="15.75">
      <c r="B64" s="603" t="s">
        <v>537</v>
      </c>
      <c r="C64" s="603"/>
      <c r="D64" s="603"/>
      <c r="E64" s="603"/>
    </row>
    <row r="65" spans="1:6" ht="6" customHeight="1">
      <c r="A65" s="121"/>
    </row>
    <row r="66" spans="1:6" ht="36.75" customHeight="1">
      <c r="A66" s="604" t="s">
        <v>538</v>
      </c>
      <c r="B66" s="604"/>
      <c r="C66" s="604"/>
      <c r="D66" s="604"/>
      <c r="E66" s="604"/>
      <c r="F66" s="604"/>
    </row>
    <row r="67" spans="1:6" ht="15.75">
      <c r="A67" s="372"/>
      <c r="B67" s="372"/>
      <c r="C67" s="372"/>
      <c r="D67" s="372"/>
      <c r="E67" s="372"/>
      <c r="F67" s="372"/>
    </row>
    <row r="68" spans="1:6" ht="15.75">
      <c r="A68" s="372"/>
      <c r="B68" s="604" t="s">
        <v>539</v>
      </c>
      <c r="C68" s="604"/>
      <c r="D68" s="604"/>
      <c r="E68" s="372"/>
      <c r="F68" s="372"/>
    </row>
    <row r="69" spans="1:6" ht="15.75">
      <c r="A69" s="372"/>
      <c r="B69" s="372" t="s">
        <v>540</v>
      </c>
      <c r="C69" s="372"/>
      <c r="D69" s="372"/>
      <c r="E69" s="372"/>
      <c r="F69" s="372"/>
    </row>
    <row r="70" spans="1:6" ht="15.75">
      <c r="A70" s="372"/>
      <c r="B70" s="372" t="s">
        <v>541</v>
      </c>
      <c r="C70" s="372"/>
      <c r="D70" s="372"/>
      <c r="E70" s="372"/>
      <c r="F70" s="372"/>
    </row>
    <row r="71" spans="1:6" ht="15.75">
      <c r="A71" s="372"/>
      <c r="B71" s="372"/>
      <c r="C71" s="372"/>
      <c r="D71" s="372"/>
      <c r="E71" s="372"/>
      <c r="F71" s="372"/>
    </row>
    <row r="72" spans="1:6" ht="15.75">
      <c r="B72" s="603" t="s">
        <v>542</v>
      </c>
      <c r="C72" s="603"/>
      <c r="D72" s="603"/>
      <c r="E72" s="603"/>
    </row>
    <row r="73" spans="1:6" ht="9" customHeight="1">
      <c r="A73" s="121"/>
    </row>
    <row r="74" spans="1:6" ht="49.5" customHeight="1">
      <c r="A74" s="604" t="s">
        <v>543</v>
      </c>
      <c r="B74" s="604"/>
      <c r="C74" s="604"/>
      <c r="D74" s="604"/>
      <c r="E74" s="604"/>
      <c r="F74" s="604"/>
    </row>
    <row r="76" spans="1:6" ht="15.75">
      <c r="B76" s="121" t="s">
        <v>544</v>
      </c>
    </row>
    <row r="77" spans="1:6" ht="15.75">
      <c r="B77" s="121" t="s">
        <v>545</v>
      </c>
    </row>
    <row r="78" spans="1:6" ht="15.75">
      <c r="B78" s="121" t="s">
        <v>546</v>
      </c>
    </row>
    <row r="79" spans="1:6" ht="33.75" customHeight="1">
      <c r="B79" s="597" t="s">
        <v>622</v>
      </c>
      <c r="C79" s="597"/>
      <c r="D79" s="597"/>
      <c r="E79" s="597"/>
      <c r="F79" s="597"/>
    </row>
    <row r="80" spans="1:6" ht="15.75">
      <c r="B80" s="121" t="s">
        <v>623</v>
      </c>
    </row>
    <row r="81" spans="1:5" ht="14.25" customHeight="1">
      <c r="B81" s="121"/>
    </row>
    <row r="82" spans="1:5" ht="15.75">
      <c r="A82" s="121"/>
      <c r="B82" s="603" t="s">
        <v>624</v>
      </c>
      <c r="C82" s="603"/>
      <c r="D82" s="603"/>
      <c r="E82" s="603"/>
    </row>
  </sheetData>
  <mergeCells count="32">
    <mergeCell ref="B79:F79"/>
    <mergeCell ref="B82:E82"/>
    <mergeCell ref="B60:C60"/>
    <mergeCell ref="B64:E64"/>
    <mergeCell ref="A66:F66"/>
    <mergeCell ref="B68:D68"/>
    <mergeCell ref="B72:E72"/>
    <mergeCell ref="A74:F74"/>
    <mergeCell ref="A58:F58"/>
    <mergeCell ref="A39:F39"/>
    <mergeCell ref="A43:F43"/>
    <mergeCell ref="A44:F44"/>
    <mergeCell ref="B46:E46"/>
    <mergeCell ref="B47:E47"/>
    <mergeCell ref="B48:E48"/>
    <mergeCell ref="A50:F50"/>
    <mergeCell ref="B52:E52"/>
    <mergeCell ref="B53:E53"/>
    <mergeCell ref="B54:E54"/>
    <mergeCell ref="A56:F56"/>
    <mergeCell ref="A38:D38"/>
    <mergeCell ref="A3:D3"/>
    <mergeCell ref="A4:D4"/>
    <mergeCell ref="A5:D5"/>
    <mergeCell ref="A7:F7"/>
    <mergeCell ref="A8:F8"/>
    <mergeCell ref="A10:F10"/>
    <mergeCell ref="A17:F17"/>
    <mergeCell ref="A24:D24"/>
    <mergeCell ref="A34:D34"/>
    <mergeCell ref="A36:A37"/>
    <mergeCell ref="C36:D37"/>
  </mergeCells>
  <pageMargins left="0.70866141732283472" right="0.70866141732283472" top="0.74803149606299213" bottom="0.74803149606299213" header="0.31496062992125984" footer="0.31496062992125984"/>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8"/>
  <sheetViews>
    <sheetView tabSelected="1" zoomScale="85" zoomScaleNormal="85" workbookViewId="0">
      <selection activeCell="F25" sqref="F25"/>
    </sheetView>
  </sheetViews>
  <sheetFormatPr defaultRowHeight="15.75"/>
  <cols>
    <col min="1" max="1" width="45.42578125" style="151" customWidth="1"/>
    <col min="2" max="2" width="9.5703125" style="151" customWidth="1"/>
    <col min="3" max="4" width="11" style="151" customWidth="1"/>
    <col min="5" max="5" width="12.85546875" style="152" customWidth="1"/>
    <col min="6" max="6" width="13.7109375" style="152" customWidth="1"/>
    <col min="7" max="7" width="12.85546875" style="152" customWidth="1"/>
    <col min="8" max="8" width="12" style="151" customWidth="1"/>
    <col min="9" max="16384" width="9.140625" style="151"/>
  </cols>
  <sheetData>
    <row r="1" spans="1:11">
      <c r="A1" s="373"/>
      <c r="B1" s="373"/>
      <c r="C1" s="373"/>
      <c r="D1" s="373"/>
      <c r="E1" s="374"/>
      <c r="F1" s="374"/>
      <c r="G1" s="375"/>
      <c r="H1" s="375" t="s">
        <v>184</v>
      </c>
    </row>
    <row r="2" spans="1:11">
      <c r="A2" s="373"/>
      <c r="B2" s="373"/>
      <c r="C2" s="373"/>
      <c r="D2" s="373"/>
      <c r="E2" s="374"/>
      <c r="F2" s="374"/>
      <c r="G2" s="374"/>
      <c r="H2" s="373"/>
    </row>
    <row r="3" spans="1:11" ht="15.75" customHeight="1">
      <c r="A3" s="605" t="s">
        <v>497</v>
      </c>
      <c r="B3" s="605"/>
      <c r="C3" s="605"/>
      <c r="D3" s="605"/>
      <c r="E3" s="605"/>
      <c r="F3" s="605"/>
      <c r="G3" s="605"/>
      <c r="H3" s="373"/>
    </row>
    <row r="4" spans="1:11">
      <c r="A4" s="376"/>
      <c r="B4" s="376"/>
      <c r="C4" s="376"/>
      <c r="D4" s="376"/>
      <c r="E4" s="376"/>
      <c r="F4" s="376"/>
      <c r="G4" s="376"/>
      <c r="H4" s="373"/>
    </row>
    <row r="5" spans="1:11">
      <c r="A5" s="373"/>
      <c r="B5" s="373"/>
      <c r="C5" s="373"/>
      <c r="D5" s="373"/>
      <c r="E5" s="374"/>
      <c r="F5" s="374"/>
      <c r="G5" s="374"/>
      <c r="H5" s="374" t="s">
        <v>121</v>
      </c>
    </row>
    <row r="6" spans="1:11" s="155" customFormat="1" ht="33" customHeight="1">
      <c r="A6" s="377"/>
      <c r="B6" s="378" t="s">
        <v>1</v>
      </c>
      <c r="C6" s="379" t="s">
        <v>412</v>
      </c>
      <c r="D6" s="379" t="s">
        <v>500</v>
      </c>
      <c r="E6" s="379" t="s">
        <v>501</v>
      </c>
      <c r="F6" s="380" t="s">
        <v>502</v>
      </c>
      <c r="G6" s="379" t="s">
        <v>418</v>
      </c>
      <c r="H6" s="379" t="s">
        <v>503</v>
      </c>
      <c r="I6" s="154"/>
    </row>
    <row r="7" spans="1:11" s="155" customFormat="1" ht="33.75" customHeight="1">
      <c r="A7" s="381" t="s">
        <v>57</v>
      </c>
      <c r="B7" s="382"/>
      <c r="C7" s="382"/>
      <c r="D7" s="382"/>
      <c r="E7" s="383"/>
      <c r="F7" s="384"/>
      <c r="G7" s="383"/>
      <c r="H7" s="385"/>
      <c r="I7" s="154"/>
    </row>
    <row r="8" spans="1:11" s="155" customFormat="1">
      <c r="A8" s="386" t="s">
        <v>222</v>
      </c>
      <c r="B8" s="387" t="s">
        <v>221</v>
      </c>
      <c r="C8" s="388">
        <v>11.8</v>
      </c>
      <c r="D8" s="389">
        <v>9.6</v>
      </c>
      <c r="E8" s="390">
        <v>9.4</v>
      </c>
      <c r="F8" s="390">
        <v>7</v>
      </c>
      <c r="G8" s="390">
        <v>6.4</v>
      </c>
      <c r="H8" s="391">
        <v>5.9</v>
      </c>
      <c r="I8" s="154"/>
    </row>
    <row r="9" spans="1:11" s="155" customFormat="1" ht="7.5" customHeight="1">
      <c r="A9" s="386"/>
      <c r="B9" s="387"/>
      <c r="C9" s="388"/>
      <c r="D9" s="389"/>
      <c r="E9" s="388"/>
      <c r="F9" s="392"/>
      <c r="G9" s="388"/>
      <c r="H9" s="393"/>
      <c r="I9" s="154"/>
    </row>
    <row r="10" spans="1:11" s="155" customFormat="1" ht="21.75" customHeight="1">
      <c r="A10" s="381" t="s">
        <v>58</v>
      </c>
      <c r="B10" s="387"/>
      <c r="C10" s="388"/>
      <c r="D10" s="389"/>
      <c r="E10" s="388"/>
      <c r="F10" s="392"/>
      <c r="G10" s="388"/>
      <c r="H10" s="393"/>
      <c r="I10" s="154"/>
    </row>
    <row r="11" spans="1:11" s="155" customFormat="1">
      <c r="A11" s="386" t="s">
        <v>223</v>
      </c>
      <c r="B11" s="387" t="s">
        <v>121</v>
      </c>
      <c r="C11" s="394">
        <v>32888589.199999999</v>
      </c>
      <c r="D11" s="394">
        <v>36036906.100000001</v>
      </c>
      <c r="E11" s="395">
        <v>39432762.399999999</v>
      </c>
      <c r="F11" s="395">
        <v>42204497.299999997</v>
      </c>
      <c r="G11" s="395">
        <v>44899864.899999999</v>
      </c>
      <c r="H11" s="396">
        <v>47536779.5</v>
      </c>
    </row>
    <row r="12" spans="1:11" s="155" customFormat="1">
      <c r="A12" s="386" t="s">
        <v>224</v>
      </c>
      <c r="B12" s="387" t="s">
        <v>221</v>
      </c>
      <c r="C12" s="397">
        <v>16.600000000000001</v>
      </c>
      <c r="D12" s="397">
        <v>16.600000000000001</v>
      </c>
      <c r="E12" s="397">
        <v>16.600000000000001</v>
      </c>
      <c r="F12" s="397">
        <v>16.600000000000001</v>
      </c>
      <c r="G12" s="397">
        <v>16.600000000000001</v>
      </c>
      <c r="H12" s="398">
        <v>16.600000000000001</v>
      </c>
      <c r="I12" s="154"/>
    </row>
    <row r="13" spans="1:11" s="155" customFormat="1">
      <c r="A13" s="386" t="s">
        <v>225</v>
      </c>
      <c r="B13" s="387" t="s">
        <v>121</v>
      </c>
      <c r="C13" s="399">
        <v>27429083.3928</v>
      </c>
      <c r="D13" s="399">
        <f t="shared" ref="D13" si="0">D11*0.834</f>
        <v>30054779.687399998</v>
      </c>
      <c r="E13" s="399">
        <v>32886923.841599997</v>
      </c>
      <c r="F13" s="399">
        <v>35198550</v>
      </c>
      <c r="G13" s="399">
        <v>37446487.3266</v>
      </c>
      <c r="H13" s="400">
        <v>39645675</v>
      </c>
      <c r="I13" s="154"/>
    </row>
    <row r="14" spans="1:11" s="155" customFormat="1" ht="6.75" customHeight="1">
      <c r="A14" s="386"/>
      <c r="B14" s="387"/>
      <c r="C14" s="399"/>
      <c r="D14" s="399"/>
      <c r="E14" s="399"/>
      <c r="F14" s="401"/>
      <c r="G14" s="399"/>
      <c r="H14" s="400"/>
      <c r="I14" s="154"/>
    </row>
    <row r="15" spans="1:11">
      <c r="A15" s="402" t="s">
        <v>226</v>
      </c>
      <c r="B15" s="403" t="s">
        <v>121</v>
      </c>
      <c r="C15" s="404">
        <v>50257.1</v>
      </c>
      <c r="D15" s="405">
        <f>D16+D17+D18+D19+D22+D23</f>
        <v>52544.494640000004</v>
      </c>
      <c r="E15" s="404">
        <v>57632</v>
      </c>
      <c r="F15" s="404">
        <v>61331</v>
      </c>
      <c r="G15" s="404">
        <v>64927</v>
      </c>
      <c r="H15" s="406">
        <v>68446</v>
      </c>
      <c r="I15" s="156"/>
      <c r="J15" s="156"/>
      <c r="K15" s="156"/>
    </row>
    <row r="16" spans="1:11">
      <c r="A16" s="407" t="s">
        <v>227</v>
      </c>
      <c r="B16" s="387" t="s">
        <v>121</v>
      </c>
      <c r="C16" s="395">
        <v>43945.1</v>
      </c>
      <c r="D16" s="408">
        <v>48134.803310000003</v>
      </c>
      <c r="E16" s="395">
        <v>52619</v>
      </c>
      <c r="F16" s="404">
        <v>56318</v>
      </c>
      <c r="G16" s="395">
        <v>59914</v>
      </c>
      <c r="H16" s="396">
        <v>63433</v>
      </c>
    </row>
    <row r="17" spans="1:11">
      <c r="A17" s="407" t="s">
        <v>270</v>
      </c>
      <c r="B17" s="387" t="s">
        <v>121</v>
      </c>
      <c r="C17" s="409">
        <v>0</v>
      </c>
      <c r="D17" s="418">
        <v>0</v>
      </c>
      <c r="E17" s="409">
        <v>0</v>
      </c>
      <c r="F17" s="411">
        <v>0</v>
      </c>
      <c r="G17" s="409">
        <v>0</v>
      </c>
      <c r="H17" s="412">
        <v>0</v>
      </c>
    </row>
    <row r="18" spans="1:11" ht="47.25">
      <c r="A18" s="407" t="s">
        <v>228</v>
      </c>
      <c r="B18" s="387" t="s">
        <v>121</v>
      </c>
      <c r="C18" s="413">
        <v>0</v>
      </c>
      <c r="D18" s="414">
        <v>0</v>
      </c>
      <c r="E18" s="413">
        <v>0</v>
      </c>
      <c r="F18" s="415">
        <v>0</v>
      </c>
      <c r="G18" s="413">
        <v>0</v>
      </c>
      <c r="H18" s="416">
        <v>0</v>
      </c>
    </row>
    <row r="19" spans="1:11">
      <c r="A19" s="407" t="s">
        <v>229</v>
      </c>
      <c r="B19" s="387" t="s">
        <v>121</v>
      </c>
      <c r="C19" s="395">
        <v>12</v>
      </c>
      <c r="D19" s="408">
        <f>D20+D21</f>
        <v>10.16915</v>
      </c>
      <c r="E19" s="395">
        <v>13</v>
      </c>
      <c r="F19" s="404">
        <v>13</v>
      </c>
      <c r="G19" s="395">
        <v>13</v>
      </c>
      <c r="H19" s="396">
        <v>13</v>
      </c>
    </row>
    <row r="20" spans="1:11">
      <c r="A20" s="407" t="s">
        <v>230</v>
      </c>
      <c r="B20" s="387" t="s">
        <v>121</v>
      </c>
      <c r="C20" s="413">
        <v>0.9</v>
      </c>
      <c r="D20" s="414">
        <v>0.23572000000000001</v>
      </c>
      <c r="E20" s="413">
        <v>1</v>
      </c>
      <c r="F20" s="415">
        <v>1</v>
      </c>
      <c r="G20" s="413">
        <v>1</v>
      </c>
      <c r="H20" s="416">
        <v>1</v>
      </c>
    </row>
    <row r="21" spans="1:11">
      <c r="A21" s="407" t="s">
        <v>231</v>
      </c>
      <c r="B21" s="387" t="s">
        <v>121</v>
      </c>
      <c r="C21" s="413">
        <v>11.1</v>
      </c>
      <c r="D21" s="414">
        <v>9.9334299999999995</v>
      </c>
      <c r="E21" s="413">
        <v>12</v>
      </c>
      <c r="F21" s="415">
        <v>12</v>
      </c>
      <c r="G21" s="413">
        <v>12</v>
      </c>
      <c r="H21" s="416">
        <v>12</v>
      </c>
    </row>
    <row r="22" spans="1:11" ht="30.75" customHeight="1">
      <c r="A22" s="407" t="s">
        <v>232</v>
      </c>
      <c r="B22" s="387" t="s">
        <v>121</v>
      </c>
      <c r="C22" s="395">
        <v>6300</v>
      </c>
      <c r="D22" s="408">
        <v>4399.5221799999999</v>
      </c>
      <c r="E22" s="395">
        <v>5000</v>
      </c>
      <c r="F22" s="404">
        <v>5000</v>
      </c>
      <c r="G22" s="395">
        <v>5000</v>
      </c>
      <c r="H22" s="396">
        <v>5000</v>
      </c>
    </row>
    <row r="23" spans="1:11">
      <c r="A23" s="407" t="s">
        <v>233</v>
      </c>
      <c r="B23" s="387" t="s">
        <v>121</v>
      </c>
      <c r="C23" s="413">
        <v>0</v>
      </c>
      <c r="D23" s="414">
        <v>0</v>
      </c>
      <c r="E23" s="413">
        <v>0</v>
      </c>
      <c r="F23" s="415">
        <v>0</v>
      </c>
      <c r="G23" s="413">
        <v>0</v>
      </c>
      <c r="H23" s="416">
        <v>0</v>
      </c>
    </row>
    <row r="24" spans="1:11" ht="7.5" customHeight="1">
      <c r="A24" s="407"/>
      <c r="B24" s="387"/>
      <c r="C24" s="413"/>
      <c r="D24" s="414"/>
      <c r="E24" s="413"/>
      <c r="F24" s="415"/>
      <c r="G24" s="413"/>
      <c r="H24" s="416"/>
    </row>
    <row r="25" spans="1:11">
      <c r="A25" s="402" t="s">
        <v>234</v>
      </c>
      <c r="B25" s="403" t="s">
        <v>121</v>
      </c>
      <c r="C25" s="404">
        <v>23167.8</v>
      </c>
      <c r="D25" s="405">
        <f>D26+D29+D30+D33+D34</f>
        <v>34543.547120000003</v>
      </c>
      <c r="E25" s="404">
        <v>29715</v>
      </c>
      <c r="F25" s="404">
        <v>33499</v>
      </c>
      <c r="G25" s="404">
        <v>39194</v>
      </c>
      <c r="H25" s="406">
        <v>45649</v>
      </c>
      <c r="I25" s="156"/>
      <c r="J25" s="156"/>
      <c r="K25" s="156"/>
    </row>
    <row r="26" spans="1:11">
      <c r="A26" s="417" t="s">
        <v>244</v>
      </c>
      <c r="B26" s="387" t="s">
        <v>121</v>
      </c>
      <c r="C26" s="418">
        <v>17903.099999999999</v>
      </c>
      <c r="D26" s="410">
        <f>ROUND((D27*D28)/1000,5)</f>
        <v>26189.278689999999</v>
      </c>
      <c r="E26" s="418">
        <v>21325</v>
      </c>
      <c r="F26" s="419">
        <v>25147</v>
      </c>
      <c r="G26" s="418">
        <v>29459</v>
      </c>
      <c r="H26" s="420">
        <v>34350</v>
      </c>
    </row>
    <row r="27" spans="1:11">
      <c r="A27" s="386" t="s">
        <v>235</v>
      </c>
      <c r="B27" s="387" t="s">
        <v>9</v>
      </c>
      <c r="C27" s="421">
        <v>6528</v>
      </c>
      <c r="D27" s="421">
        <v>9136</v>
      </c>
      <c r="E27" s="421">
        <v>6800</v>
      </c>
      <c r="F27" s="422">
        <v>7480.0000000000009</v>
      </c>
      <c r="G27" s="421">
        <v>8228.0000000000018</v>
      </c>
      <c r="H27" s="423">
        <v>9050.8000000000029</v>
      </c>
    </row>
    <row r="28" spans="1:11">
      <c r="A28" s="386" t="s">
        <v>196</v>
      </c>
      <c r="B28" s="387" t="s">
        <v>4</v>
      </c>
      <c r="C28" s="424">
        <v>2742.51</v>
      </c>
      <c r="D28" s="425">
        <v>2866.602308</v>
      </c>
      <c r="E28" s="424">
        <v>3136.0629249520002</v>
      </c>
      <c r="F28" s="426">
        <v>3361.8594555485442</v>
      </c>
      <c r="G28" s="424">
        <v>3580.3803201591995</v>
      </c>
      <c r="H28" s="427">
        <v>3795.2031393687516</v>
      </c>
    </row>
    <row r="29" spans="1:11" ht="31.5">
      <c r="A29" s="407" t="s">
        <v>245</v>
      </c>
      <c r="B29" s="387" t="s">
        <v>121</v>
      </c>
      <c r="C29" s="428">
        <v>4944.5</v>
      </c>
      <c r="D29" s="414">
        <v>8012.3902600000001</v>
      </c>
      <c r="E29" s="428">
        <v>6708</v>
      </c>
      <c r="F29" s="429">
        <v>7910</v>
      </c>
      <c r="G29" s="428">
        <v>9266</v>
      </c>
      <c r="H29" s="430">
        <v>10805</v>
      </c>
    </row>
    <row r="30" spans="1:11">
      <c r="A30" s="407" t="s">
        <v>246</v>
      </c>
      <c r="B30" s="387" t="s">
        <v>121</v>
      </c>
      <c r="C30" s="409">
        <v>264.39999999999998</v>
      </c>
      <c r="D30" s="410">
        <f>D31+D32</f>
        <v>317.80500000000001</v>
      </c>
      <c r="E30" s="409">
        <v>365</v>
      </c>
      <c r="F30" s="411">
        <v>395</v>
      </c>
      <c r="G30" s="409">
        <v>422</v>
      </c>
      <c r="H30" s="412">
        <v>447</v>
      </c>
    </row>
    <row r="31" spans="1:11">
      <c r="A31" s="431" t="s">
        <v>249</v>
      </c>
      <c r="B31" s="387" t="s">
        <v>121</v>
      </c>
      <c r="C31" s="432">
        <v>126</v>
      </c>
      <c r="D31" s="425">
        <v>146</v>
      </c>
      <c r="E31" s="432">
        <v>160</v>
      </c>
      <c r="F31" s="432">
        <v>222</v>
      </c>
      <c r="G31" s="432">
        <v>186</v>
      </c>
      <c r="H31" s="433">
        <v>197</v>
      </c>
    </row>
    <row r="32" spans="1:11">
      <c r="A32" s="431" t="s">
        <v>250</v>
      </c>
      <c r="B32" s="387" t="s">
        <v>121</v>
      </c>
      <c r="C32" s="432">
        <v>138.4</v>
      </c>
      <c r="D32" s="425">
        <v>171.80500000000001</v>
      </c>
      <c r="E32" s="432">
        <v>205</v>
      </c>
      <c r="F32" s="432">
        <v>173</v>
      </c>
      <c r="G32" s="432">
        <v>236</v>
      </c>
      <c r="H32" s="433">
        <v>250</v>
      </c>
    </row>
    <row r="33" spans="1:11" s="157" customFormat="1">
      <c r="A33" s="407" t="s">
        <v>247</v>
      </c>
      <c r="B33" s="387" t="s">
        <v>121</v>
      </c>
      <c r="C33" s="395">
        <v>0</v>
      </c>
      <c r="D33" s="408">
        <v>0</v>
      </c>
      <c r="E33" s="395">
        <v>0</v>
      </c>
      <c r="F33" s="404">
        <v>0</v>
      </c>
      <c r="G33" s="395">
        <v>0</v>
      </c>
      <c r="H33" s="396">
        <v>0</v>
      </c>
    </row>
    <row r="34" spans="1:11" s="157" customFormat="1">
      <c r="A34" s="407" t="s">
        <v>248</v>
      </c>
      <c r="B34" s="387" t="s">
        <v>121</v>
      </c>
      <c r="C34" s="395">
        <v>55.800000000000004</v>
      </c>
      <c r="D34" s="408">
        <f t="shared" ref="D34" si="1">D35+D36+D39</f>
        <v>24.073169999999998</v>
      </c>
      <c r="E34" s="395">
        <v>1317</v>
      </c>
      <c r="F34" s="404">
        <v>47</v>
      </c>
      <c r="G34" s="395">
        <v>47</v>
      </c>
      <c r="H34" s="396">
        <v>47</v>
      </c>
    </row>
    <row r="35" spans="1:11" s="157" customFormat="1">
      <c r="A35" s="407" t="s">
        <v>515</v>
      </c>
      <c r="B35" s="387" t="s">
        <v>121</v>
      </c>
      <c r="C35" s="395">
        <v>0</v>
      </c>
      <c r="D35" s="408">
        <v>0</v>
      </c>
      <c r="E35" s="395">
        <v>1270</v>
      </c>
      <c r="F35" s="404">
        <v>0</v>
      </c>
      <c r="G35" s="395">
        <v>0</v>
      </c>
      <c r="H35" s="396">
        <v>0</v>
      </c>
    </row>
    <row r="36" spans="1:11" s="157" customFormat="1">
      <c r="A36" s="407" t="s">
        <v>394</v>
      </c>
      <c r="B36" s="387" t="s">
        <v>121</v>
      </c>
      <c r="C36" s="428">
        <v>48.6</v>
      </c>
      <c r="D36" s="414">
        <v>19.184629999999999</v>
      </c>
      <c r="E36" s="428">
        <v>45</v>
      </c>
      <c r="F36" s="429">
        <v>45</v>
      </c>
      <c r="G36" s="429">
        <v>45</v>
      </c>
      <c r="H36" s="434">
        <v>45</v>
      </c>
    </row>
    <row r="37" spans="1:11" s="157" customFormat="1" ht="66.75" customHeight="1">
      <c r="A37" s="407" t="s">
        <v>498</v>
      </c>
      <c r="B37" s="387" t="s">
        <v>121</v>
      </c>
      <c r="C37" s="428"/>
      <c r="D37" s="408">
        <f>D36-D38</f>
        <v>16.78463</v>
      </c>
      <c r="E37" s="428"/>
      <c r="F37" s="429">
        <v>42</v>
      </c>
      <c r="G37" s="428">
        <v>42</v>
      </c>
      <c r="H37" s="430">
        <v>42</v>
      </c>
    </row>
    <row r="38" spans="1:11" s="157" customFormat="1" ht="31.5">
      <c r="A38" s="407" t="s">
        <v>499</v>
      </c>
      <c r="B38" s="387" t="s">
        <v>121</v>
      </c>
      <c r="C38" s="428"/>
      <c r="D38" s="408">
        <v>2.4</v>
      </c>
      <c r="E38" s="428"/>
      <c r="F38" s="429">
        <v>3</v>
      </c>
      <c r="G38" s="428">
        <v>3</v>
      </c>
      <c r="H38" s="430">
        <v>3</v>
      </c>
    </row>
    <row r="39" spans="1:11">
      <c r="A39" s="407" t="s">
        <v>423</v>
      </c>
      <c r="B39" s="387" t="s">
        <v>121</v>
      </c>
      <c r="C39" s="428">
        <v>7.2</v>
      </c>
      <c r="D39" s="414">
        <v>4.8885399999999999</v>
      </c>
      <c r="E39" s="428">
        <v>2</v>
      </c>
      <c r="F39" s="429">
        <v>2</v>
      </c>
      <c r="G39" s="428">
        <v>2</v>
      </c>
      <c r="H39" s="430">
        <v>2</v>
      </c>
    </row>
    <row r="40" spans="1:11">
      <c r="A40" s="435" t="s">
        <v>241</v>
      </c>
      <c r="B40" s="436" t="s">
        <v>121</v>
      </c>
      <c r="C40" s="437">
        <v>27089.3</v>
      </c>
      <c r="D40" s="438">
        <f t="shared" ref="D40" si="2">D15-D25</f>
        <v>18000.947520000002</v>
      </c>
      <c r="E40" s="437">
        <v>27917</v>
      </c>
      <c r="F40" s="437">
        <v>27832</v>
      </c>
      <c r="G40" s="437">
        <v>25733</v>
      </c>
      <c r="H40" s="439">
        <v>22797</v>
      </c>
      <c r="I40" s="156"/>
      <c r="J40" s="156"/>
      <c r="K40" s="156"/>
    </row>
    <row r="41" spans="1:11">
      <c r="A41" s="440"/>
      <c r="B41" s="440"/>
      <c r="C41" s="440"/>
      <c r="D41" s="440"/>
      <c r="E41" s="441"/>
      <c r="F41" s="441"/>
      <c r="G41" s="441"/>
      <c r="H41" s="373"/>
    </row>
    <row r="42" spans="1:11">
      <c r="E42" s="158"/>
      <c r="F42" s="158"/>
      <c r="G42" s="158"/>
    </row>
    <row r="43" spans="1:11">
      <c r="E43" s="159"/>
      <c r="F43" s="159"/>
      <c r="G43" s="159"/>
      <c r="H43" s="156"/>
    </row>
    <row r="44" spans="1:11">
      <c r="E44" s="159"/>
      <c r="F44" s="159"/>
      <c r="G44" s="159"/>
      <c r="H44" s="156"/>
    </row>
    <row r="45" spans="1:11">
      <c r="E45" s="158"/>
      <c r="F45" s="158"/>
      <c r="G45" s="158"/>
    </row>
    <row r="47" spans="1:11">
      <c r="A47" s="153"/>
      <c r="B47" s="153"/>
      <c r="C47" s="153"/>
      <c r="D47" s="153"/>
    </row>
    <row r="48" spans="1:11">
      <c r="A48" s="153"/>
      <c r="B48" s="153"/>
      <c r="C48" s="153"/>
      <c r="D48" s="153"/>
    </row>
  </sheetData>
  <mergeCells count="1">
    <mergeCell ref="A3:G3"/>
  </mergeCells>
  <pageMargins left="0.25" right="0.25" top="0.75" bottom="0.75" header="0.3" footer="0.3"/>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E870B-8980-4DA0-A716-B917A4F33EEC}">
  <sheetPr>
    <pageSetUpPr fitToPage="1"/>
  </sheetPr>
  <dimension ref="A1:H37"/>
  <sheetViews>
    <sheetView topLeftCell="A10" zoomScale="85" zoomScaleNormal="85" workbookViewId="0">
      <selection activeCell="F39" sqref="F39"/>
    </sheetView>
  </sheetViews>
  <sheetFormatPr defaultRowHeight="15.75"/>
  <cols>
    <col min="1" max="1" width="8.42578125" style="151" customWidth="1"/>
    <col min="2" max="2" width="50.28515625" style="151" customWidth="1"/>
    <col min="3" max="4" width="12.85546875" style="152" customWidth="1"/>
    <col min="5" max="5" width="12.85546875" style="160" customWidth="1"/>
    <col min="6" max="7" width="12.85546875" style="152" customWidth="1"/>
    <col min="8" max="8" width="12.28515625" style="151" customWidth="1"/>
    <col min="9" max="16384" width="9.140625" style="151"/>
  </cols>
  <sheetData>
    <row r="1" spans="1:8">
      <c r="A1" s="373"/>
      <c r="B1" s="373"/>
      <c r="C1" s="374"/>
      <c r="D1" s="374"/>
      <c r="E1" s="442"/>
      <c r="F1" s="374"/>
      <c r="G1" s="375"/>
      <c r="H1" s="375" t="s">
        <v>243</v>
      </c>
    </row>
    <row r="2" spans="1:8">
      <c r="A2" s="373"/>
      <c r="B2" s="373"/>
      <c r="C2" s="374"/>
      <c r="D2" s="374"/>
      <c r="E2" s="442"/>
      <c r="F2" s="374"/>
      <c r="G2" s="374"/>
      <c r="H2" s="373"/>
    </row>
    <row r="3" spans="1:8" ht="33" customHeight="1">
      <c r="A3" s="605" t="s">
        <v>520</v>
      </c>
      <c r="B3" s="605"/>
      <c r="C3" s="605"/>
      <c r="D3" s="605"/>
      <c r="E3" s="605"/>
      <c r="F3" s="605"/>
      <c r="G3" s="605"/>
      <c r="H3" s="373"/>
    </row>
    <row r="4" spans="1:8">
      <c r="A4" s="376"/>
      <c r="B4" s="376"/>
      <c r="C4" s="376"/>
      <c r="D4" s="376"/>
      <c r="E4" s="442"/>
      <c r="F4" s="374"/>
      <c r="G4" s="374"/>
      <c r="H4" s="373"/>
    </row>
    <row r="5" spans="1:8">
      <c r="A5" s="373"/>
      <c r="B5" s="373"/>
      <c r="C5" s="374"/>
      <c r="D5" s="374"/>
      <c r="E5" s="442"/>
      <c r="F5" s="374"/>
      <c r="G5" s="374"/>
      <c r="H5" s="374" t="s">
        <v>121</v>
      </c>
    </row>
    <row r="6" spans="1:8" s="155" customFormat="1" ht="33" customHeight="1">
      <c r="A6" s="443"/>
      <c r="B6" s="444"/>
      <c r="C6" s="445" t="s">
        <v>412</v>
      </c>
      <c r="D6" s="445" t="s">
        <v>500</v>
      </c>
      <c r="E6" s="445" t="s">
        <v>501</v>
      </c>
      <c r="F6" s="446" t="s">
        <v>502</v>
      </c>
      <c r="G6" s="445" t="s">
        <v>418</v>
      </c>
      <c r="H6" s="445" t="s">
        <v>503</v>
      </c>
    </row>
    <row r="7" spans="1:8">
      <c r="A7" s="447" t="s">
        <v>291</v>
      </c>
      <c r="B7" s="448" t="s">
        <v>292</v>
      </c>
      <c r="C7" s="449">
        <v>27207.9</v>
      </c>
      <c r="D7" s="449">
        <v>17859.26642</v>
      </c>
      <c r="E7" s="449">
        <v>28409</v>
      </c>
      <c r="F7" s="449">
        <v>28301</v>
      </c>
      <c r="G7" s="449">
        <v>26130</v>
      </c>
      <c r="H7" s="449">
        <v>23122</v>
      </c>
    </row>
    <row r="8" spans="1:8">
      <c r="A8" s="447" t="s">
        <v>293</v>
      </c>
      <c r="B8" s="448" t="s">
        <v>341</v>
      </c>
      <c r="C8" s="449">
        <v>51085.3</v>
      </c>
      <c r="D8" s="449">
        <v>52904.220020000001</v>
      </c>
      <c r="E8" s="449">
        <v>58116</v>
      </c>
      <c r="F8" s="449">
        <v>61793</v>
      </c>
      <c r="G8" s="449">
        <v>65318</v>
      </c>
      <c r="H8" s="449">
        <v>68765</v>
      </c>
    </row>
    <row r="9" spans="1:8">
      <c r="A9" s="450" t="s">
        <v>294</v>
      </c>
      <c r="B9" s="451" t="s">
        <v>295</v>
      </c>
      <c r="C9" s="452">
        <v>43341.2</v>
      </c>
      <c r="D9" s="452">
        <v>47546.898430000001</v>
      </c>
      <c r="E9" s="452">
        <v>52303</v>
      </c>
      <c r="F9" s="453">
        <v>55980</v>
      </c>
      <c r="G9" s="452">
        <v>59555</v>
      </c>
      <c r="H9" s="452">
        <v>63052</v>
      </c>
    </row>
    <row r="10" spans="1:8">
      <c r="A10" s="450" t="s">
        <v>296</v>
      </c>
      <c r="B10" s="451" t="s">
        <v>342</v>
      </c>
      <c r="C10" s="454">
        <v>0</v>
      </c>
      <c r="D10" s="454">
        <v>0</v>
      </c>
      <c r="E10" s="454">
        <v>0</v>
      </c>
      <c r="F10" s="455">
        <v>0</v>
      </c>
      <c r="G10" s="454">
        <v>0</v>
      </c>
      <c r="H10" s="454">
        <v>0</v>
      </c>
    </row>
    <row r="11" spans="1:8" ht="31.5">
      <c r="A11" s="450" t="s">
        <v>297</v>
      </c>
      <c r="B11" s="451" t="s">
        <v>519</v>
      </c>
      <c r="C11" s="456">
        <v>817.8</v>
      </c>
      <c r="D11" s="456">
        <v>744.13102000000003</v>
      </c>
      <c r="E11" s="454">
        <v>650</v>
      </c>
      <c r="F11" s="455">
        <v>600</v>
      </c>
      <c r="G11" s="454">
        <v>550</v>
      </c>
      <c r="H11" s="454">
        <v>500</v>
      </c>
    </row>
    <row r="12" spans="1:8" ht="47.25">
      <c r="A12" s="450" t="s">
        <v>298</v>
      </c>
      <c r="B12" s="451" t="s">
        <v>299</v>
      </c>
      <c r="C12" s="454">
        <v>0</v>
      </c>
      <c r="D12" s="454">
        <v>0</v>
      </c>
      <c r="E12" s="454">
        <v>0</v>
      </c>
      <c r="F12" s="455">
        <v>0</v>
      </c>
      <c r="G12" s="454">
        <v>0</v>
      </c>
      <c r="H12" s="454">
        <v>0</v>
      </c>
    </row>
    <row r="13" spans="1:8" s="157" customFormat="1">
      <c r="A13" s="450" t="s">
        <v>300</v>
      </c>
      <c r="B13" s="457" t="s">
        <v>304</v>
      </c>
      <c r="C13" s="458">
        <v>6423</v>
      </c>
      <c r="D13" s="458">
        <v>4280.6024299999999</v>
      </c>
      <c r="E13" s="458">
        <v>4963</v>
      </c>
      <c r="F13" s="449">
        <v>5013</v>
      </c>
      <c r="G13" s="458">
        <v>5013</v>
      </c>
      <c r="H13" s="458">
        <v>5013</v>
      </c>
    </row>
    <row r="14" spans="1:8" s="157" customFormat="1">
      <c r="A14" s="450" t="s">
        <v>301</v>
      </c>
      <c r="B14" s="459" t="s">
        <v>302</v>
      </c>
      <c r="C14" s="460">
        <v>6414.7</v>
      </c>
      <c r="D14" s="460">
        <v>4272.4701699999996</v>
      </c>
      <c r="E14" s="460">
        <v>4950</v>
      </c>
      <c r="F14" s="461">
        <v>5000</v>
      </c>
      <c r="G14" s="460">
        <v>5000</v>
      </c>
      <c r="H14" s="460">
        <v>5000</v>
      </c>
    </row>
    <row r="15" spans="1:8">
      <c r="A15" s="450" t="s">
        <v>303</v>
      </c>
      <c r="B15" s="462" t="s">
        <v>304</v>
      </c>
      <c r="C15" s="458">
        <v>8.3000000000000007</v>
      </c>
      <c r="D15" s="458">
        <v>8.1322600000000005</v>
      </c>
      <c r="E15" s="458">
        <v>13</v>
      </c>
      <c r="F15" s="449">
        <v>13</v>
      </c>
      <c r="G15" s="458">
        <v>13</v>
      </c>
      <c r="H15" s="458">
        <v>13</v>
      </c>
    </row>
    <row r="16" spans="1:8">
      <c r="A16" s="450" t="s">
        <v>305</v>
      </c>
      <c r="B16" s="451" t="s">
        <v>306</v>
      </c>
      <c r="C16" s="463">
        <v>503.3</v>
      </c>
      <c r="D16" s="463">
        <v>332.58814000000001</v>
      </c>
      <c r="E16" s="463">
        <v>200</v>
      </c>
      <c r="F16" s="464">
        <v>200</v>
      </c>
      <c r="G16" s="463">
        <v>200</v>
      </c>
      <c r="H16" s="463">
        <v>200</v>
      </c>
    </row>
    <row r="17" spans="1:8">
      <c r="A17" s="447" t="s">
        <v>307</v>
      </c>
      <c r="B17" s="448" t="s">
        <v>343</v>
      </c>
      <c r="C17" s="449">
        <v>-23877.4</v>
      </c>
      <c r="D17" s="449">
        <v>-35044.953600000001</v>
      </c>
      <c r="E17" s="449">
        <v>-29707</v>
      </c>
      <c r="F17" s="449">
        <v>-33492</v>
      </c>
      <c r="G17" s="449">
        <v>-39188</v>
      </c>
      <c r="H17" s="449">
        <v>-45643</v>
      </c>
    </row>
    <row r="18" spans="1:8">
      <c r="A18" s="450" t="s">
        <v>308</v>
      </c>
      <c r="B18" s="465" t="s">
        <v>309</v>
      </c>
      <c r="C18" s="452">
        <v>-18535.7</v>
      </c>
      <c r="D18" s="452">
        <v>-26682.356690000001</v>
      </c>
      <c r="E18" s="452">
        <v>-21325</v>
      </c>
      <c r="F18" s="453">
        <v>-25147</v>
      </c>
      <c r="G18" s="452">
        <v>-29459</v>
      </c>
      <c r="H18" s="452">
        <v>-34350</v>
      </c>
    </row>
    <row r="19" spans="1:8">
      <c r="A19" s="450" t="s">
        <v>310</v>
      </c>
      <c r="B19" s="465" t="s">
        <v>311</v>
      </c>
      <c r="C19" s="452">
        <v>-4965.2</v>
      </c>
      <c r="D19" s="452">
        <v>-7995.3029800000004</v>
      </c>
      <c r="E19" s="452">
        <v>-6708</v>
      </c>
      <c r="F19" s="453">
        <v>-7910</v>
      </c>
      <c r="G19" s="452">
        <v>-9266</v>
      </c>
      <c r="H19" s="452">
        <v>-10805</v>
      </c>
    </row>
    <row r="20" spans="1:8">
      <c r="A20" s="450" t="s">
        <v>312</v>
      </c>
      <c r="B20" s="465" t="s">
        <v>313</v>
      </c>
      <c r="C20" s="452">
        <v>-256.8</v>
      </c>
      <c r="D20" s="452">
        <v>-306.77692999999999</v>
      </c>
      <c r="E20" s="452">
        <v>-357</v>
      </c>
      <c r="F20" s="453">
        <v>-388</v>
      </c>
      <c r="G20" s="452">
        <v>-416</v>
      </c>
      <c r="H20" s="452">
        <v>-441</v>
      </c>
    </row>
    <row r="21" spans="1:8" s="157" customFormat="1">
      <c r="A21" s="450" t="s">
        <v>314</v>
      </c>
      <c r="B21" s="459" t="s">
        <v>315</v>
      </c>
      <c r="C21" s="458">
        <v>0</v>
      </c>
      <c r="D21" s="458">
        <v>0</v>
      </c>
      <c r="E21" s="458">
        <v>0</v>
      </c>
      <c r="F21" s="449">
        <v>0</v>
      </c>
      <c r="G21" s="458">
        <v>0</v>
      </c>
      <c r="H21" s="458">
        <v>0</v>
      </c>
    </row>
    <row r="22" spans="1:8" s="157" customFormat="1">
      <c r="A22" s="450" t="s">
        <v>316</v>
      </c>
      <c r="B22" s="465" t="s">
        <v>317</v>
      </c>
      <c r="C22" s="458">
        <v>-119.7</v>
      </c>
      <c r="D22" s="458">
        <v>-60.517000000000003</v>
      </c>
      <c r="E22" s="458">
        <v>-1317</v>
      </c>
      <c r="F22" s="449">
        <v>-47</v>
      </c>
      <c r="G22" s="458">
        <v>-47</v>
      </c>
      <c r="H22" s="458">
        <v>-47</v>
      </c>
    </row>
    <row r="23" spans="1:8" s="157" customFormat="1" ht="31.5">
      <c r="A23" s="450" t="s">
        <v>516</v>
      </c>
      <c r="B23" s="465" t="s">
        <v>517</v>
      </c>
      <c r="C23" s="458"/>
      <c r="D23" s="458"/>
      <c r="E23" s="458">
        <v>-1270</v>
      </c>
      <c r="F23" s="449"/>
      <c r="G23" s="458"/>
      <c r="H23" s="458"/>
    </row>
    <row r="24" spans="1:8" s="157" customFormat="1">
      <c r="A24" s="450" t="s">
        <v>518</v>
      </c>
      <c r="B24" s="465" t="s">
        <v>317</v>
      </c>
      <c r="C24" s="458"/>
      <c r="D24" s="458"/>
      <c r="E24" s="458">
        <v>-47</v>
      </c>
      <c r="F24" s="449">
        <v>-47</v>
      </c>
      <c r="G24" s="458">
        <v>-47</v>
      </c>
      <c r="H24" s="458">
        <v>-47</v>
      </c>
    </row>
    <row r="25" spans="1:8" s="157" customFormat="1">
      <c r="A25" s="447" t="s">
        <v>318</v>
      </c>
      <c r="B25" s="448" t="s">
        <v>319</v>
      </c>
      <c r="C25" s="458">
        <v>0</v>
      </c>
      <c r="D25" s="458">
        <v>-190000</v>
      </c>
      <c r="E25" s="458">
        <v>-25000</v>
      </c>
      <c r="F25" s="449">
        <v>0</v>
      </c>
      <c r="G25" s="458">
        <v>0</v>
      </c>
      <c r="H25" s="458">
        <v>0</v>
      </c>
    </row>
    <row r="26" spans="1:8" s="157" customFormat="1" ht="31.5">
      <c r="A26" s="450" t="s">
        <v>320</v>
      </c>
      <c r="B26" s="465" t="s">
        <v>321</v>
      </c>
      <c r="C26" s="458">
        <v>0</v>
      </c>
      <c r="D26" s="458">
        <v>-454500</v>
      </c>
      <c r="E26" s="458">
        <v>-215000</v>
      </c>
      <c r="F26" s="449">
        <v>0</v>
      </c>
      <c r="G26" s="458">
        <v>0</v>
      </c>
      <c r="H26" s="458">
        <v>0</v>
      </c>
    </row>
    <row r="27" spans="1:8" s="157" customFormat="1" ht="31.5">
      <c r="A27" s="450" t="s">
        <v>322</v>
      </c>
      <c r="B27" s="465" t="s">
        <v>323</v>
      </c>
      <c r="C27" s="458">
        <v>0</v>
      </c>
      <c r="D27" s="458">
        <v>264500</v>
      </c>
      <c r="E27" s="458">
        <v>190000</v>
      </c>
      <c r="F27" s="449">
        <v>0</v>
      </c>
      <c r="G27" s="458">
        <v>0</v>
      </c>
      <c r="H27" s="458">
        <v>0</v>
      </c>
    </row>
    <row r="28" spans="1:8" s="157" customFormat="1">
      <c r="A28" s="447" t="s">
        <v>324</v>
      </c>
      <c r="B28" s="448" t="s">
        <v>325</v>
      </c>
      <c r="C28" s="449">
        <v>0</v>
      </c>
      <c r="D28" s="449">
        <v>0</v>
      </c>
      <c r="E28" s="458">
        <v>0</v>
      </c>
      <c r="F28" s="449">
        <v>0</v>
      </c>
      <c r="G28" s="449">
        <v>0</v>
      </c>
      <c r="H28" s="449">
        <v>0</v>
      </c>
    </row>
    <row r="29" spans="1:8" s="157" customFormat="1">
      <c r="A29" s="450" t="s">
        <v>326</v>
      </c>
      <c r="B29" s="465" t="s">
        <v>327</v>
      </c>
      <c r="C29" s="458">
        <v>0</v>
      </c>
      <c r="D29" s="458">
        <v>0</v>
      </c>
      <c r="E29" s="458">
        <v>0</v>
      </c>
      <c r="F29" s="449">
        <v>0</v>
      </c>
      <c r="G29" s="458">
        <v>0</v>
      </c>
      <c r="H29" s="458">
        <v>0</v>
      </c>
    </row>
    <row r="30" spans="1:8" s="157" customFormat="1">
      <c r="A30" s="450" t="s">
        <v>328</v>
      </c>
      <c r="B30" s="465" t="s">
        <v>329</v>
      </c>
      <c r="C30" s="458">
        <v>0</v>
      </c>
      <c r="D30" s="458">
        <v>0</v>
      </c>
      <c r="E30" s="458">
        <v>0</v>
      </c>
      <c r="F30" s="449">
        <v>0</v>
      </c>
      <c r="G30" s="458">
        <v>0</v>
      </c>
      <c r="H30" s="458">
        <v>0</v>
      </c>
    </row>
    <row r="31" spans="1:8" s="157" customFormat="1">
      <c r="A31" s="447" t="s">
        <v>330</v>
      </c>
      <c r="B31" s="448" t="s">
        <v>331</v>
      </c>
      <c r="C31" s="449">
        <v>27207.9</v>
      </c>
      <c r="D31" s="449">
        <v>-172140.73358</v>
      </c>
      <c r="E31" s="449">
        <v>3409</v>
      </c>
      <c r="F31" s="449">
        <v>28301</v>
      </c>
      <c r="G31" s="449">
        <v>26130</v>
      </c>
      <c r="H31" s="449">
        <v>23122</v>
      </c>
    </row>
    <row r="32" spans="1:8" s="157" customFormat="1">
      <c r="A32" s="447" t="s">
        <v>332</v>
      </c>
      <c r="B32" s="448" t="s">
        <v>333</v>
      </c>
      <c r="C32" s="449"/>
      <c r="D32" s="449">
        <v>0</v>
      </c>
      <c r="E32" s="449"/>
      <c r="F32" s="449"/>
      <c r="G32" s="449"/>
      <c r="H32" s="449"/>
    </row>
    <row r="33" spans="1:8" s="157" customFormat="1">
      <c r="A33" s="450" t="s">
        <v>334</v>
      </c>
      <c r="B33" s="465" t="s">
        <v>335</v>
      </c>
      <c r="C33" s="458">
        <v>151645</v>
      </c>
      <c r="D33" s="458">
        <v>178852.954</v>
      </c>
      <c r="E33" s="458">
        <v>6712.2204199999978</v>
      </c>
      <c r="F33" s="449">
        <v>10121</v>
      </c>
      <c r="G33" s="458">
        <v>38422</v>
      </c>
      <c r="H33" s="458">
        <v>64552</v>
      </c>
    </row>
    <row r="34" spans="1:8" s="157" customFormat="1">
      <c r="A34" s="450" t="s">
        <v>336</v>
      </c>
      <c r="B34" s="465" t="s">
        <v>337</v>
      </c>
      <c r="C34" s="458">
        <v>27207.9</v>
      </c>
      <c r="D34" s="458">
        <v>-172140.73358</v>
      </c>
      <c r="E34" s="458">
        <v>3409</v>
      </c>
      <c r="F34" s="449">
        <v>28301</v>
      </c>
      <c r="G34" s="458">
        <v>26130</v>
      </c>
      <c r="H34" s="458">
        <v>23122</v>
      </c>
    </row>
    <row r="35" spans="1:8">
      <c r="A35" s="466" t="s">
        <v>338</v>
      </c>
      <c r="B35" s="465" t="s">
        <v>339</v>
      </c>
      <c r="C35" s="463">
        <v>178852.9</v>
      </c>
      <c r="D35" s="463">
        <v>6712.2204199999978</v>
      </c>
      <c r="E35" s="463">
        <v>10121.220419999998</v>
      </c>
      <c r="F35" s="464">
        <v>38422</v>
      </c>
      <c r="G35" s="463">
        <v>64552</v>
      </c>
      <c r="H35" s="463">
        <v>87674</v>
      </c>
    </row>
    <row r="37" spans="1:8">
      <c r="C37" s="158"/>
      <c r="D37" s="158"/>
    </row>
  </sheetData>
  <mergeCells count="1">
    <mergeCell ref="A3:G3"/>
  </mergeCells>
  <pageMargins left="0.25" right="0.25" top="0.75" bottom="0.75" header="0.3" footer="0.3"/>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6"/>
  <sheetViews>
    <sheetView zoomScale="85" zoomScaleNormal="85" workbookViewId="0">
      <selection activeCell="M17" sqref="M17"/>
    </sheetView>
  </sheetViews>
  <sheetFormatPr defaultRowHeight="15.75"/>
  <cols>
    <col min="1" max="1" width="48.28515625" style="151" customWidth="1"/>
    <col min="2" max="2" width="9.5703125" style="151" customWidth="1"/>
    <col min="3" max="3" width="12.85546875" style="151" customWidth="1"/>
    <col min="4" max="4" width="11.85546875" style="151" customWidth="1"/>
    <col min="5" max="8" width="12.85546875" style="152" customWidth="1"/>
    <col min="9" max="9" width="12" style="151" customWidth="1"/>
    <col min="10" max="13" width="15" style="151" customWidth="1"/>
    <col min="14" max="16384" width="9.140625" style="151"/>
  </cols>
  <sheetData>
    <row r="1" spans="1:13">
      <c r="A1" s="373"/>
      <c r="B1" s="373"/>
      <c r="C1" s="373"/>
      <c r="D1" s="373"/>
      <c r="E1" s="374"/>
      <c r="F1" s="374"/>
      <c r="G1" s="374"/>
      <c r="H1" s="467" t="s">
        <v>340</v>
      </c>
      <c r="I1" s="206"/>
    </row>
    <row r="2" spans="1:13" ht="18">
      <c r="A2" s="468"/>
      <c r="B2" s="468"/>
      <c r="C2" s="468"/>
      <c r="D2" s="468"/>
      <c r="E2" s="468"/>
      <c r="F2" s="468"/>
      <c r="G2" s="468"/>
      <c r="H2" s="468"/>
      <c r="I2" s="207"/>
      <c r="J2" s="161"/>
    </row>
    <row r="3" spans="1:13" ht="15.75" customHeight="1">
      <c r="A3" s="606" t="s">
        <v>508</v>
      </c>
      <c r="B3" s="606"/>
      <c r="C3" s="606"/>
      <c r="D3" s="606"/>
      <c r="E3" s="606"/>
      <c r="F3" s="606"/>
      <c r="G3" s="606"/>
      <c r="H3" s="351"/>
      <c r="I3" s="206"/>
    </row>
    <row r="4" spans="1:13">
      <c r="A4" s="592" t="s">
        <v>509</v>
      </c>
      <c r="B4" s="592"/>
      <c r="C4" s="592"/>
      <c r="D4" s="592"/>
      <c r="E4" s="592"/>
      <c r="F4" s="592"/>
      <c r="G4" s="592"/>
      <c r="H4" s="351"/>
      <c r="I4" s="206"/>
      <c r="J4" s="162"/>
      <c r="K4" s="162"/>
      <c r="L4" s="162"/>
      <c r="M4" s="162"/>
    </row>
    <row r="5" spans="1:13">
      <c r="A5" s="469"/>
      <c r="B5" s="469"/>
      <c r="C5" s="469"/>
      <c r="D5" s="470"/>
      <c r="E5" s="470"/>
      <c r="F5" s="471"/>
      <c r="G5" s="470"/>
      <c r="H5" s="351"/>
      <c r="I5" s="206"/>
      <c r="J5" s="163"/>
      <c r="K5" s="163"/>
      <c r="L5" s="163"/>
      <c r="M5" s="163"/>
    </row>
    <row r="6" spans="1:13" s="155" customFormat="1" ht="33" customHeight="1">
      <c r="A6" s="351"/>
      <c r="B6" s="351"/>
      <c r="C6" s="351"/>
      <c r="D6" s="470"/>
      <c r="E6" s="470"/>
      <c r="F6" s="471"/>
      <c r="G6" s="470"/>
      <c r="H6" s="470" t="s">
        <v>121</v>
      </c>
      <c r="I6" s="209"/>
      <c r="J6" s="154"/>
    </row>
    <row r="7" spans="1:13" s="155" customFormat="1" ht="33" customHeight="1">
      <c r="A7" s="472"/>
      <c r="B7" s="473" t="s">
        <v>1</v>
      </c>
      <c r="C7" s="473" t="s">
        <v>412</v>
      </c>
      <c r="D7" s="473" t="s">
        <v>500</v>
      </c>
      <c r="E7" s="473" t="s">
        <v>501</v>
      </c>
      <c r="F7" s="474" t="s">
        <v>502</v>
      </c>
      <c r="G7" s="473" t="s">
        <v>418</v>
      </c>
      <c r="H7" s="473" t="s">
        <v>503</v>
      </c>
      <c r="I7" s="209"/>
      <c r="J7" s="154"/>
    </row>
    <row r="8" spans="1:13" s="155" customFormat="1" ht="18" customHeight="1">
      <c r="A8" s="475" t="s">
        <v>57</v>
      </c>
      <c r="B8" s="476"/>
      <c r="C8" s="476"/>
      <c r="D8" s="477"/>
      <c r="E8" s="477"/>
      <c r="F8" s="478"/>
      <c r="G8" s="477"/>
      <c r="H8" s="385"/>
      <c r="I8" s="209"/>
      <c r="J8" s="154"/>
    </row>
    <row r="9" spans="1:13" s="155" customFormat="1" ht="20.25" customHeight="1">
      <c r="A9" s="479" t="s">
        <v>222</v>
      </c>
      <c r="B9" s="480" t="s">
        <v>221</v>
      </c>
      <c r="C9" s="481">
        <v>11.8</v>
      </c>
      <c r="D9" s="482">
        <v>9.6</v>
      </c>
      <c r="E9" s="390">
        <v>9.4</v>
      </c>
      <c r="F9" s="483">
        <v>7</v>
      </c>
      <c r="G9" s="390">
        <v>6.4</v>
      </c>
      <c r="H9" s="391">
        <v>5.9</v>
      </c>
      <c r="I9" s="209"/>
      <c r="J9" s="154"/>
    </row>
    <row r="10" spans="1:13" s="155" customFormat="1" ht="21" customHeight="1">
      <c r="A10" s="484"/>
      <c r="B10" s="485"/>
      <c r="C10" s="486"/>
      <c r="D10" s="389"/>
      <c r="E10" s="388"/>
      <c r="F10" s="392"/>
      <c r="G10" s="388"/>
      <c r="H10" s="393"/>
      <c r="I10" s="209"/>
      <c r="J10" s="154"/>
    </row>
    <row r="11" spans="1:13" s="155" customFormat="1" ht="21.75" customHeight="1">
      <c r="A11" s="475" t="s">
        <v>58</v>
      </c>
      <c r="B11" s="485"/>
      <c r="C11" s="486"/>
      <c r="D11" s="389"/>
      <c r="E11" s="388"/>
      <c r="F11" s="392"/>
      <c r="G11" s="388"/>
      <c r="H11" s="393"/>
      <c r="I11" s="209"/>
      <c r="J11" s="154"/>
    </row>
    <row r="12" spans="1:13" s="155" customFormat="1">
      <c r="A12" s="479" t="s">
        <v>223</v>
      </c>
      <c r="B12" s="480" t="s">
        <v>121</v>
      </c>
      <c r="C12" s="487">
        <v>32888589</v>
      </c>
      <c r="D12" s="488">
        <v>36036906.100000001</v>
      </c>
      <c r="E12" s="488">
        <v>39432762</v>
      </c>
      <c r="F12" s="489">
        <v>42204497</v>
      </c>
      <c r="G12" s="488">
        <v>44899865</v>
      </c>
      <c r="H12" s="490">
        <v>47536780</v>
      </c>
      <c r="I12" s="209"/>
      <c r="J12" s="154"/>
    </row>
    <row r="13" spans="1:13" s="155" customFormat="1">
      <c r="A13" s="479" t="s">
        <v>224</v>
      </c>
      <c r="B13" s="480" t="s">
        <v>221</v>
      </c>
      <c r="C13" s="481">
        <v>16.600000000000001</v>
      </c>
      <c r="D13" s="491">
        <v>16.600000000000001</v>
      </c>
      <c r="E13" s="491">
        <v>16.600000000000001</v>
      </c>
      <c r="F13" s="492">
        <v>16.600000000000001</v>
      </c>
      <c r="G13" s="491">
        <v>16.600000000000001</v>
      </c>
      <c r="H13" s="493">
        <v>16.600000000000001</v>
      </c>
      <c r="I13" s="209"/>
      <c r="J13" s="154"/>
    </row>
    <row r="14" spans="1:13" s="155" customFormat="1" ht="31.5">
      <c r="A14" s="479" t="s">
        <v>225</v>
      </c>
      <c r="B14" s="480" t="s">
        <v>121</v>
      </c>
      <c r="C14" s="487">
        <v>27425556</v>
      </c>
      <c r="D14" s="494">
        <f>D12*(100-D13)/100</f>
        <v>30054779.687400002</v>
      </c>
      <c r="E14" s="494">
        <f t="shared" ref="E14:G14" si="0">E12*(100-E13)/100</f>
        <v>32886923.508000001</v>
      </c>
      <c r="F14" s="495">
        <f>F12*(100-F13)/100</f>
        <v>35198550.498000003</v>
      </c>
      <c r="G14" s="494">
        <f t="shared" si="0"/>
        <v>37446487.410000004</v>
      </c>
      <c r="H14" s="496">
        <f>H12*(100-H13)/100</f>
        <v>39645674.520000003</v>
      </c>
      <c r="I14" s="209"/>
      <c r="J14" s="154"/>
    </row>
    <row r="15" spans="1:13" s="155" customFormat="1" ht="18" customHeight="1">
      <c r="A15" s="484"/>
      <c r="B15" s="485"/>
      <c r="C15" s="497"/>
      <c r="D15" s="399"/>
      <c r="E15" s="399"/>
      <c r="F15" s="401"/>
      <c r="G15" s="399"/>
      <c r="H15" s="400"/>
      <c r="I15" s="209"/>
      <c r="J15" s="154"/>
    </row>
    <row r="16" spans="1:13">
      <c r="A16" s="498" t="s">
        <v>226</v>
      </c>
      <c r="B16" s="499" t="s">
        <v>121</v>
      </c>
      <c r="C16" s="500">
        <f>C17+C18+C19+C20+C23+C24</f>
        <v>51372</v>
      </c>
      <c r="D16" s="489">
        <f>'[1]priskaitymai rugsėjis'!F7</f>
        <v>53728</v>
      </c>
      <c r="E16" s="489">
        <f>'[1]priskaitymai rugsėjis'!H7</f>
        <v>58131</v>
      </c>
      <c r="F16" s="489">
        <f>'[1]priskaitymai rugsėjis'!I7</f>
        <v>61832</v>
      </c>
      <c r="G16" s="489">
        <f>'[1]priskaitymai rugsėjis'!J7</f>
        <v>65430</v>
      </c>
      <c r="H16" s="501">
        <f>'[1]priskaitymai rugsėjis'!K7</f>
        <v>68951</v>
      </c>
      <c r="I16" s="206"/>
      <c r="J16" s="164"/>
    </row>
    <row r="17" spans="1:13">
      <c r="A17" s="480" t="s">
        <v>227</v>
      </c>
      <c r="B17" s="485" t="s">
        <v>121</v>
      </c>
      <c r="C17" s="487">
        <v>44173</v>
      </c>
      <c r="D17" s="488">
        <f>'[1]priskaitymai rugsėjis'!F8</f>
        <v>48399</v>
      </c>
      <c r="E17" s="488">
        <f>'[1]priskaitymai rugsėjis'!H8</f>
        <v>52619</v>
      </c>
      <c r="F17" s="489">
        <f>'[1]priskaitymai rugsėjis'!I8</f>
        <v>56318</v>
      </c>
      <c r="G17" s="488">
        <f>'[1]priskaitymai rugsėjis'!J8</f>
        <v>59914</v>
      </c>
      <c r="H17" s="490">
        <f>'[1]priskaitymai rugsėjis'!K8</f>
        <v>63433</v>
      </c>
      <c r="I17" s="206"/>
    </row>
    <row r="18" spans="1:13">
      <c r="A18" s="480" t="s">
        <v>270</v>
      </c>
      <c r="B18" s="485" t="s">
        <v>121</v>
      </c>
      <c r="C18" s="487">
        <v>0</v>
      </c>
      <c r="D18" s="413">
        <f>'[1]priskaitymai rugsėjis'!E9</f>
        <v>0</v>
      </c>
      <c r="E18" s="413">
        <f>'[1]priskaitymai rugsėjis'!H9</f>
        <v>0</v>
      </c>
      <c r="F18" s="415">
        <f>'[1]priskaitymai rugsėjis'!I9</f>
        <v>0</v>
      </c>
      <c r="G18" s="413">
        <f>'[1]priskaitymai rugsėjis'!J9</f>
        <v>0</v>
      </c>
      <c r="H18" s="416">
        <f>'[1]priskaitymai rugsėjis'!K9</f>
        <v>0</v>
      </c>
      <c r="I18" s="206"/>
    </row>
    <row r="19" spans="1:13" ht="31.5">
      <c r="A19" s="480" t="s">
        <v>522</v>
      </c>
      <c r="B19" s="485" t="s">
        <v>121</v>
      </c>
      <c r="C19" s="487">
        <v>0</v>
      </c>
      <c r="D19" s="413">
        <f>'[1]priskaitymai rugsėjis'!E10</f>
        <v>0</v>
      </c>
      <c r="E19" s="413">
        <f>'[1]priskaitymai rugsėjis'!H10</f>
        <v>0</v>
      </c>
      <c r="F19" s="415">
        <f>'[1]priskaitymai rugsėjis'!I10</f>
        <v>0</v>
      </c>
      <c r="G19" s="413">
        <f>'[1]priskaitymai rugsėjis'!J10</f>
        <v>0</v>
      </c>
      <c r="H19" s="416">
        <f>'[1]priskaitymai rugsėjis'!K10</f>
        <v>0</v>
      </c>
      <c r="I19" s="206"/>
    </row>
    <row r="20" spans="1:13">
      <c r="A20" s="480" t="s">
        <v>229</v>
      </c>
      <c r="B20" s="485" t="s">
        <v>121</v>
      </c>
      <c r="C20" s="487">
        <v>12</v>
      </c>
      <c r="D20" s="488">
        <f>D21+D22</f>
        <v>10</v>
      </c>
      <c r="E20" s="488">
        <f t="shared" ref="E20:H20" si="1">E21+E22</f>
        <v>12</v>
      </c>
      <c r="F20" s="489">
        <f t="shared" si="1"/>
        <v>14</v>
      </c>
      <c r="G20" s="488">
        <f t="shared" si="1"/>
        <v>16</v>
      </c>
      <c r="H20" s="490">
        <f t="shared" si="1"/>
        <v>18</v>
      </c>
      <c r="I20" s="206"/>
    </row>
    <row r="21" spans="1:13">
      <c r="A21" s="480" t="s">
        <v>230</v>
      </c>
      <c r="B21" s="485" t="s">
        <v>121</v>
      </c>
      <c r="C21" s="487">
        <v>0</v>
      </c>
      <c r="D21" s="502">
        <f>'[1]priskaitymai rugsėjis'!F12</f>
        <v>0</v>
      </c>
      <c r="E21" s="413">
        <f>'[1]priskaitymai rugsėjis'!H12</f>
        <v>0</v>
      </c>
      <c r="F21" s="415">
        <f>'[1]priskaitymai rugsėjis'!I12</f>
        <v>0</v>
      </c>
      <c r="G21" s="413">
        <f>'[1]priskaitymai rugsėjis'!J12</f>
        <v>0</v>
      </c>
      <c r="H21" s="416">
        <f>'[1]priskaitymai rugsėjis'!K12</f>
        <v>0</v>
      </c>
      <c r="I21" s="206"/>
    </row>
    <row r="22" spans="1:13">
      <c r="A22" s="480" t="s">
        <v>231</v>
      </c>
      <c r="B22" s="485" t="s">
        <v>121</v>
      </c>
      <c r="C22" s="487">
        <v>12</v>
      </c>
      <c r="D22" s="428">
        <f>'[1]priskaitymai rugsėjis'!F13</f>
        <v>10</v>
      </c>
      <c r="E22" s="413">
        <f>'[1]priskaitymai rugsėjis'!H13</f>
        <v>12</v>
      </c>
      <c r="F22" s="415">
        <f>'[1]priskaitymai rugsėjis'!I13</f>
        <v>14</v>
      </c>
      <c r="G22" s="413">
        <f>'[1]priskaitymai rugsėjis'!J13</f>
        <v>16</v>
      </c>
      <c r="H22" s="416">
        <f>'[1]priskaitymai rugsėjis'!K13</f>
        <v>18</v>
      </c>
      <c r="I22" s="206"/>
    </row>
    <row r="23" spans="1:13" ht="16.5" customHeight="1">
      <c r="A23" s="480" t="s">
        <v>232</v>
      </c>
      <c r="B23" s="485" t="s">
        <v>121</v>
      </c>
      <c r="C23" s="487">
        <v>7187</v>
      </c>
      <c r="D23" s="488">
        <f>'[1]priskaitymai rugsėjis'!F14</f>
        <v>5319</v>
      </c>
      <c r="E23" s="488">
        <f>'[1]priskaitymai rugsėjis'!H14</f>
        <v>5500</v>
      </c>
      <c r="F23" s="489">
        <f>'[1]priskaitymai rugsėjis'!I14</f>
        <v>5500</v>
      </c>
      <c r="G23" s="488">
        <f>'[1]priskaitymai rugsėjis'!J14</f>
        <v>5500</v>
      </c>
      <c r="H23" s="490">
        <f>'[1]priskaitymai rugsėjis'!K14</f>
        <v>5500</v>
      </c>
      <c r="I23" s="206"/>
    </row>
    <row r="24" spans="1:13" ht="20.25" customHeight="1">
      <c r="A24" s="480" t="s">
        <v>233</v>
      </c>
      <c r="B24" s="485" t="s">
        <v>121</v>
      </c>
      <c r="C24" s="487">
        <v>0</v>
      </c>
      <c r="D24" s="413">
        <f>'[1]priskaitymai rugsėjis'!E15</f>
        <v>0</v>
      </c>
      <c r="E24" s="413">
        <f>'[1]priskaitymai rugsėjis'!H15</f>
        <v>0</v>
      </c>
      <c r="F24" s="415">
        <f>'[1]priskaitymai rugsėjis'!I15</f>
        <v>0</v>
      </c>
      <c r="G24" s="413">
        <f>'[1]priskaitymai rugsėjis'!J15</f>
        <v>0</v>
      </c>
      <c r="H24" s="416">
        <f>'[1]priskaitymai rugsėjis'!K15</f>
        <v>0</v>
      </c>
      <c r="I24" s="206"/>
    </row>
    <row r="25" spans="1:13" ht="21" customHeight="1">
      <c r="A25" s="480"/>
      <c r="B25" s="485"/>
      <c r="C25" s="497"/>
      <c r="D25" s="413"/>
      <c r="E25" s="413"/>
      <c r="F25" s="415"/>
      <c r="G25" s="413"/>
      <c r="H25" s="416"/>
      <c r="I25" s="206"/>
    </row>
    <row r="26" spans="1:13">
      <c r="A26" s="498" t="s">
        <v>234</v>
      </c>
      <c r="B26" s="499" t="s">
        <v>121</v>
      </c>
      <c r="C26" s="500">
        <v>14604</v>
      </c>
      <c r="D26" s="489">
        <f>D27+D33+D36+D37</f>
        <v>13310</v>
      </c>
      <c r="E26" s="489">
        <f>'[1]priskaitymai rugsėjis'!H16</f>
        <v>19372</v>
      </c>
      <c r="F26" s="489">
        <f>F27+F33+F36+F37</f>
        <v>19184</v>
      </c>
      <c r="G26" s="489">
        <f t="shared" ref="G26:H26" si="2">G27+G33+G36+G37</f>
        <v>21431</v>
      </c>
      <c r="H26" s="489">
        <f t="shared" si="2"/>
        <v>23808</v>
      </c>
      <c r="I26" s="206"/>
    </row>
    <row r="27" spans="1:13">
      <c r="A27" s="503" t="s">
        <v>504</v>
      </c>
      <c r="B27" s="485" t="s">
        <v>121</v>
      </c>
      <c r="C27" s="487">
        <v>14280</v>
      </c>
      <c r="D27" s="428">
        <f>'[1]priskaitymai rugsėjis'!F17</f>
        <v>12983</v>
      </c>
      <c r="E27" s="428">
        <f>'[1]priskaitymai rugsėjis'!H17</f>
        <v>17058</v>
      </c>
      <c r="F27" s="429">
        <f>'[1]priskaitymai rugsėjis'!I17</f>
        <v>18780</v>
      </c>
      <c r="G27" s="428">
        <f>'[1]priskaitymai rugsėjis'!J17</f>
        <v>21002</v>
      </c>
      <c r="H27" s="430">
        <f>'[1]priskaitymai rugsėjis'!K17</f>
        <v>23357</v>
      </c>
      <c r="I27" s="206"/>
    </row>
    <row r="28" spans="1:13">
      <c r="A28" s="484" t="s">
        <v>271</v>
      </c>
      <c r="B28" s="485" t="s">
        <v>121</v>
      </c>
      <c r="C28" s="487">
        <v>13886</v>
      </c>
      <c r="D28" s="504">
        <f>D29*D30/1000</f>
        <v>13438.833000000001</v>
      </c>
      <c r="E28" s="504">
        <f>ROUND('[1]priskaitymai rugsėjis'!J44/1000,0)</f>
        <v>16658</v>
      </c>
      <c r="F28" s="505">
        <f>ROUND('[1]priskaitymai rugsėjis'!K44/1000,0)</f>
        <v>18751</v>
      </c>
      <c r="G28" s="505">
        <f>ROUND('[1]priskaitymai rugsėjis'!L44/1000,0)</f>
        <v>20974</v>
      </c>
      <c r="H28" s="506">
        <f>ROUND('[1]priskaitymai rugsėjis'!M44/1000,0)</f>
        <v>23330</v>
      </c>
      <c r="I28" s="206"/>
    </row>
    <row r="29" spans="1:13">
      <c r="A29" s="484" t="s">
        <v>235</v>
      </c>
      <c r="B29" s="485" t="s">
        <v>9</v>
      </c>
      <c r="C29" s="497">
        <v>5468</v>
      </c>
      <c r="D29" s="507">
        <v>5483</v>
      </c>
      <c r="E29" s="507">
        <f>'[1]priskaitymai rugsėjis'!J42</f>
        <v>5876</v>
      </c>
      <c r="F29" s="508">
        <f>'[1]priskaitymai rugsėjis'!K42</f>
        <v>6170</v>
      </c>
      <c r="G29" s="507">
        <f>'[1]priskaitymai rugsėjis'!L42</f>
        <v>6480</v>
      </c>
      <c r="H29" s="509">
        <f>'[1]priskaitymai rugsėjis'!M42</f>
        <v>6800</v>
      </c>
      <c r="I29" s="206"/>
      <c r="J29" s="156"/>
      <c r="K29" s="156"/>
      <c r="L29" s="156"/>
      <c r="M29" s="156"/>
    </row>
    <row r="30" spans="1:13">
      <c r="A30" s="484" t="s">
        <v>196</v>
      </c>
      <c r="B30" s="485" t="s">
        <v>4</v>
      </c>
      <c r="C30" s="497">
        <v>2539</v>
      </c>
      <c r="D30" s="507">
        <v>2451</v>
      </c>
      <c r="E30" s="507">
        <f>'[1]priskaitymai rugsėjis'!J43</f>
        <v>2835</v>
      </c>
      <c r="F30" s="508">
        <f>'[1]priskaitymai rugsėjis'!K43</f>
        <v>3039.1200000000003</v>
      </c>
      <c r="G30" s="507">
        <f>'[1]priskaitymai rugsėjis'!L43</f>
        <v>3236.6628000000001</v>
      </c>
      <c r="H30" s="509">
        <f>'[1]priskaitymai rugsėjis'!M43</f>
        <v>3430.862568</v>
      </c>
      <c r="I30" s="206"/>
    </row>
    <row r="31" spans="1:13">
      <c r="A31" s="484" t="s">
        <v>236</v>
      </c>
      <c r="B31" s="485" t="s">
        <v>121</v>
      </c>
      <c r="C31" s="497">
        <v>455</v>
      </c>
      <c r="D31" s="507">
        <v>0</v>
      </c>
      <c r="E31" s="507">
        <f>'[1]priskaitymai rugsėjis'!H33</f>
        <v>400</v>
      </c>
      <c r="F31" s="508">
        <f>'[1]priskaitymai rugsėjis'!I33</f>
        <v>429</v>
      </c>
      <c r="G31" s="507">
        <f>'[1]priskaitymai rugsėjis'!J33</f>
        <v>457</v>
      </c>
      <c r="H31" s="509">
        <f>'[1]priskaitymai rugsėjis'!K33</f>
        <v>484</v>
      </c>
      <c r="I31" s="206"/>
    </row>
    <row r="32" spans="1:13">
      <c r="A32" s="484" t="s">
        <v>237</v>
      </c>
      <c r="B32" s="485" t="s">
        <v>121</v>
      </c>
      <c r="C32" s="497">
        <v>394</v>
      </c>
      <c r="D32" s="507">
        <f>-455</f>
        <v>-455</v>
      </c>
      <c r="E32" s="507">
        <f>'[1]priskaitymai rugsėjis'!H34</f>
        <v>400</v>
      </c>
      <c r="F32" s="508">
        <f>'[1]priskaitymai rugsėjis'!I34</f>
        <v>29</v>
      </c>
      <c r="G32" s="507">
        <f>'[1]priskaitymai rugsėjis'!J34</f>
        <v>28</v>
      </c>
      <c r="H32" s="509">
        <f>'[1]priskaitymai rugsėjis'!K34</f>
        <v>27</v>
      </c>
      <c r="I32" s="206"/>
    </row>
    <row r="33" spans="1:9">
      <c r="A33" s="480" t="s">
        <v>238</v>
      </c>
      <c r="B33" s="485" t="s">
        <v>121</v>
      </c>
      <c r="C33" s="487">
        <v>265</v>
      </c>
      <c r="D33" s="502">
        <f>D34+D35</f>
        <v>298</v>
      </c>
      <c r="E33" s="502">
        <f>E34+E35</f>
        <v>324</v>
      </c>
      <c r="F33" s="510">
        <f t="shared" ref="F33:H33" si="3">F34+F35</f>
        <v>351</v>
      </c>
      <c r="G33" s="502">
        <f t="shared" si="3"/>
        <v>376</v>
      </c>
      <c r="H33" s="511">
        <f t="shared" si="3"/>
        <v>398</v>
      </c>
      <c r="I33" s="206"/>
    </row>
    <row r="34" spans="1:9">
      <c r="A34" s="484" t="s">
        <v>251</v>
      </c>
      <c r="B34" s="485" t="s">
        <v>121</v>
      </c>
      <c r="C34" s="497">
        <v>126</v>
      </c>
      <c r="D34" s="507">
        <f>'[1]veiklos sąnaudos rugsėjis'!G8</f>
        <v>146</v>
      </c>
      <c r="E34" s="507">
        <f>'[1]veiklos sąnaudos rugsėjis'!H8</f>
        <v>160</v>
      </c>
      <c r="F34" s="508">
        <f>'[1]veiklos sąnaudos rugsėjis'!I8</f>
        <v>173</v>
      </c>
      <c r="G34" s="507">
        <f>'[1]veiklos sąnaudos rugsėjis'!J8</f>
        <v>186</v>
      </c>
      <c r="H34" s="509">
        <f>'[1]veiklos sąnaudos rugsėjis'!K8</f>
        <v>197</v>
      </c>
      <c r="I34" s="206"/>
    </row>
    <row r="35" spans="1:9">
      <c r="A35" s="484" t="s">
        <v>252</v>
      </c>
      <c r="B35" s="485" t="s">
        <v>121</v>
      </c>
      <c r="C35" s="497">
        <v>139</v>
      </c>
      <c r="D35" s="507">
        <f>'[1]veiklos sąnaudos rugsėjis'!G9</f>
        <v>152</v>
      </c>
      <c r="E35" s="507">
        <f>'[1]veiklos sąnaudos rugsėjis'!H9</f>
        <v>164</v>
      </c>
      <c r="F35" s="508">
        <f>'[1]veiklos sąnaudos rugsėjis'!I9</f>
        <v>178</v>
      </c>
      <c r="G35" s="507">
        <f>'[1]veiklos sąnaudos rugsėjis'!J9</f>
        <v>190</v>
      </c>
      <c r="H35" s="509">
        <f>'[1]veiklos sąnaudos rugsėjis'!K9</f>
        <v>201</v>
      </c>
      <c r="I35" s="206"/>
    </row>
    <row r="36" spans="1:9" s="157" customFormat="1">
      <c r="A36" s="480" t="s">
        <v>239</v>
      </c>
      <c r="B36" s="485" t="s">
        <v>121</v>
      </c>
      <c r="C36" s="487">
        <v>0</v>
      </c>
      <c r="D36" s="488">
        <f>'[1]priskaitymai rugsėjis'!E19</f>
        <v>0</v>
      </c>
      <c r="E36" s="488">
        <f>'[1]priskaitymai rugsėjis'!H19</f>
        <v>0</v>
      </c>
      <c r="F36" s="489">
        <f>'[1]priskaitymai rugsėjis'!I19</f>
        <v>0</v>
      </c>
      <c r="G36" s="488">
        <f>'[1]priskaitymai rugsėjis'!J19</f>
        <v>0</v>
      </c>
      <c r="H36" s="490">
        <f>'[1]priskaitymai rugsėjis'!K19</f>
        <v>0</v>
      </c>
      <c r="I36" s="206"/>
    </row>
    <row r="37" spans="1:9" s="157" customFormat="1">
      <c r="A37" s="480" t="s">
        <v>240</v>
      </c>
      <c r="B37" s="485" t="s">
        <v>121</v>
      </c>
      <c r="C37" s="487">
        <v>59</v>
      </c>
      <c r="D37" s="488">
        <f>D38+D39</f>
        <v>29</v>
      </c>
      <c r="E37" s="488">
        <f>E38+E39</f>
        <v>1990</v>
      </c>
      <c r="F37" s="489">
        <f>F38+F39</f>
        <v>53</v>
      </c>
      <c r="G37" s="488">
        <f>G38+G39</f>
        <v>53</v>
      </c>
      <c r="H37" s="490">
        <f>H38+H39</f>
        <v>53</v>
      </c>
      <c r="I37" s="206"/>
    </row>
    <row r="38" spans="1:9" s="157" customFormat="1">
      <c r="A38" s="480" t="s">
        <v>505</v>
      </c>
      <c r="B38" s="485" t="s">
        <v>121</v>
      </c>
      <c r="C38" s="487">
        <v>0</v>
      </c>
      <c r="D38" s="488">
        <f>'[1]priskaitymai rugsėjis'!E21</f>
        <v>0</v>
      </c>
      <c r="E38" s="488">
        <f>'[1]priskaitymai rugsėjis'!H21</f>
        <v>1937</v>
      </c>
      <c r="F38" s="489">
        <v>0</v>
      </c>
      <c r="G38" s="488">
        <f>'[1]priskaitymai rugsėjis'!J21</f>
        <v>0</v>
      </c>
      <c r="H38" s="490">
        <f>'[1]priskaitymai rugsėjis'!K21</f>
        <v>0</v>
      </c>
      <c r="I38" s="206"/>
    </row>
    <row r="39" spans="1:9" s="157" customFormat="1">
      <c r="A39" s="480" t="s">
        <v>387</v>
      </c>
      <c r="B39" s="485" t="s">
        <v>121</v>
      </c>
      <c r="C39" s="487">
        <v>59</v>
      </c>
      <c r="D39" s="488">
        <f>'[1]priskaitymai rugsėjis'!F22</f>
        <v>29</v>
      </c>
      <c r="E39" s="488">
        <f>'[1]priskaitymai rugsėjis'!H22</f>
        <v>53</v>
      </c>
      <c r="F39" s="489">
        <f>'[1]priskaitymai rugsėjis'!I22</f>
        <v>53</v>
      </c>
      <c r="G39" s="488">
        <f>'[1]priskaitymai rugsėjis'!J22</f>
        <v>53</v>
      </c>
      <c r="H39" s="490">
        <f>'[1]priskaitymai rugsėjis'!K22</f>
        <v>53</v>
      </c>
      <c r="I39" s="206"/>
    </row>
    <row r="40" spans="1:9" ht="57.75" customHeight="1">
      <c r="A40" s="480" t="s">
        <v>506</v>
      </c>
      <c r="B40" s="485" t="s">
        <v>121</v>
      </c>
      <c r="C40" s="487"/>
      <c r="D40" s="488">
        <v>0</v>
      </c>
      <c r="E40" s="488">
        <v>50</v>
      </c>
      <c r="F40" s="489">
        <v>50</v>
      </c>
      <c r="G40" s="488">
        <v>50</v>
      </c>
      <c r="H40" s="490">
        <v>50</v>
      </c>
      <c r="I40" s="210"/>
    </row>
    <row r="41" spans="1:9" ht="33" customHeight="1">
      <c r="A41" s="480" t="s">
        <v>507</v>
      </c>
      <c r="B41" s="485" t="s">
        <v>121</v>
      </c>
      <c r="C41" s="487"/>
      <c r="D41" s="488">
        <v>0</v>
      </c>
      <c r="E41" s="488">
        <v>3</v>
      </c>
      <c r="F41" s="489">
        <v>3</v>
      </c>
      <c r="G41" s="488">
        <v>3</v>
      </c>
      <c r="H41" s="490">
        <v>3</v>
      </c>
      <c r="I41" s="210"/>
    </row>
    <row r="42" spans="1:9">
      <c r="A42" s="480" t="s">
        <v>388</v>
      </c>
      <c r="B42" s="485" t="s">
        <v>121</v>
      </c>
      <c r="C42" s="487">
        <v>0</v>
      </c>
      <c r="D42" s="428">
        <f>'[1]priskaitymai rugsėjis'!E25</f>
        <v>0</v>
      </c>
      <c r="E42" s="428">
        <f>'[1]priskaitymai rugsėjis'!H25</f>
        <v>0</v>
      </c>
      <c r="F42" s="429">
        <f>'[1]priskaitymai rugsėjis'!I25</f>
        <v>0</v>
      </c>
      <c r="G42" s="428">
        <f>'[1]priskaitymai rugsėjis'!J25</f>
        <v>0</v>
      </c>
      <c r="H42" s="430">
        <f>'[1]priskaitymai rugsėjis'!K25</f>
        <v>0</v>
      </c>
      <c r="I42" s="206"/>
    </row>
    <row r="43" spans="1:9">
      <c r="A43" s="480"/>
      <c r="B43" s="485"/>
      <c r="C43" s="487"/>
      <c r="D43" s="413"/>
      <c r="E43" s="428"/>
      <c r="F43" s="429"/>
      <c r="G43" s="428"/>
      <c r="H43" s="430"/>
      <c r="I43" s="206"/>
    </row>
    <row r="44" spans="1:9">
      <c r="A44" s="512" t="s">
        <v>241</v>
      </c>
      <c r="B44" s="513" t="s">
        <v>121</v>
      </c>
      <c r="C44" s="514">
        <v>36768</v>
      </c>
      <c r="D44" s="437">
        <f>D16-D26</f>
        <v>40418</v>
      </c>
      <c r="E44" s="437">
        <f t="shared" ref="E44" si="4">E16-E26</f>
        <v>38759</v>
      </c>
      <c r="F44" s="437">
        <f>F16-F26</f>
        <v>42648</v>
      </c>
      <c r="G44" s="437">
        <f t="shared" ref="G44:H44" si="5">G16-G26</f>
        <v>43999</v>
      </c>
      <c r="H44" s="437">
        <f t="shared" si="5"/>
        <v>45143</v>
      </c>
    </row>
    <row r="45" spans="1:9">
      <c r="A45" s="205"/>
      <c r="B45" s="205"/>
      <c r="C45" s="205"/>
      <c r="D45" s="208"/>
      <c r="E45" s="208"/>
      <c r="F45" s="241"/>
      <c r="G45" s="208"/>
      <c r="H45" s="205"/>
      <c r="I45" s="156"/>
    </row>
    <row r="46" spans="1:9">
      <c r="I46" s="156"/>
    </row>
  </sheetData>
  <mergeCells count="2">
    <mergeCell ref="A3:G3"/>
    <mergeCell ref="A4:G4"/>
  </mergeCells>
  <pageMargins left="0.25" right="0.25" top="0.75" bottom="0.75" header="0.3" footer="0.3"/>
  <pageSetup paperSize="9"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5"/>
  <sheetViews>
    <sheetView zoomScale="85" zoomScaleNormal="85" workbookViewId="0">
      <selection activeCell="F30" sqref="F30"/>
    </sheetView>
  </sheetViews>
  <sheetFormatPr defaultColWidth="13.28515625" defaultRowHeight="15"/>
  <cols>
    <col min="1" max="1" width="8" style="131" customWidth="1"/>
    <col min="2" max="2" width="43.42578125" style="131" customWidth="1"/>
    <col min="3" max="3" width="10.85546875" style="131" customWidth="1"/>
    <col min="4" max="4" width="11.28515625" style="131" customWidth="1"/>
    <col min="5" max="6" width="10.85546875" style="131" customWidth="1"/>
    <col min="7" max="7" width="10.42578125" style="131" customWidth="1"/>
    <col min="8" max="16384" width="13.28515625" style="131"/>
  </cols>
  <sheetData>
    <row r="1" spans="1:8" ht="15.75">
      <c r="A1" s="119"/>
      <c r="B1" s="119"/>
      <c r="C1" s="119"/>
      <c r="D1" s="119"/>
      <c r="E1" s="119"/>
      <c r="F1" s="119"/>
      <c r="G1" s="119"/>
      <c r="H1" s="515" t="s">
        <v>346</v>
      </c>
    </row>
    <row r="2" spans="1:8">
      <c r="A2" s="119"/>
      <c r="B2" s="119"/>
      <c r="C2" s="119"/>
      <c r="D2" s="119"/>
      <c r="E2" s="119"/>
      <c r="F2" s="119"/>
      <c r="G2" s="119"/>
      <c r="H2" s="119"/>
    </row>
    <row r="3" spans="1:8" ht="15.75">
      <c r="A3" s="606" t="s">
        <v>521</v>
      </c>
      <c r="B3" s="606"/>
      <c r="C3" s="606"/>
      <c r="D3" s="606"/>
      <c r="E3" s="606"/>
      <c r="F3" s="606"/>
      <c r="G3" s="606"/>
      <c r="H3" s="119"/>
    </row>
    <row r="4" spans="1:8" ht="15.75">
      <c r="A4" s="469"/>
      <c r="B4" s="469"/>
      <c r="C4" s="469"/>
      <c r="D4" s="469"/>
      <c r="E4" s="470"/>
      <c r="F4" s="470"/>
      <c r="G4" s="470"/>
      <c r="H4" s="119"/>
    </row>
    <row r="5" spans="1:8">
      <c r="A5" s="119"/>
      <c r="B5" s="119"/>
      <c r="C5" s="119"/>
      <c r="D5" s="516"/>
      <c r="E5" s="516"/>
      <c r="F5" s="516"/>
      <c r="G5" s="516"/>
      <c r="H5" s="119"/>
    </row>
    <row r="6" spans="1:8" ht="15.75">
      <c r="A6" s="351"/>
      <c r="B6" s="351"/>
      <c r="C6" s="351"/>
      <c r="D6" s="470"/>
      <c r="E6" s="470"/>
      <c r="F6" s="119"/>
      <c r="G6" s="470"/>
      <c r="H6" s="470" t="s">
        <v>121</v>
      </c>
    </row>
    <row r="7" spans="1:8" ht="31.5">
      <c r="A7" s="517"/>
      <c r="B7" s="518"/>
      <c r="C7" s="379" t="s">
        <v>412</v>
      </c>
      <c r="D7" s="379" t="s">
        <v>500</v>
      </c>
      <c r="E7" s="379" t="s">
        <v>501</v>
      </c>
      <c r="F7" s="380" t="s">
        <v>510</v>
      </c>
      <c r="G7" s="379" t="s">
        <v>418</v>
      </c>
      <c r="H7" s="379" t="s">
        <v>503</v>
      </c>
    </row>
    <row r="8" spans="1:8" ht="15.75">
      <c r="A8" s="519" t="s">
        <v>291</v>
      </c>
      <c r="B8" s="520" t="s">
        <v>292</v>
      </c>
      <c r="C8" s="521">
        <f t="shared" ref="C8" si="0">C9-C17+C24+C27</f>
        <v>37060.199999999997</v>
      </c>
      <c r="D8" s="521">
        <f>ROUND(D9+D17,0)</f>
        <v>38721</v>
      </c>
      <c r="E8" s="521">
        <f t="shared" ref="E8:G8" si="1">ROUND(E9+E17,0)</f>
        <v>39577</v>
      </c>
      <c r="F8" s="521">
        <f>ROUND(F9+F17,0)</f>
        <v>42292</v>
      </c>
      <c r="G8" s="521">
        <f t="shared" si="1"/>
        <v>43621</v>
      </c>
      <c r="H8" s="521">
        <f>ROUND(H9+H17,0)</f>
        <v>44742</v>
      </c>
    </row>
    <row r="9" spans="1:8" ht="15.75">
      <c r="A9" s="519" t="s">
        <v>293</v>
      </c>
      <c r="B9" s="520" t="s">
        <v>341</v>
      </c>
      <c r="C9" s="521">
        <f>C10+C11+C12+C13+C16</f>
        <v>51208.2</v>
      </c>
      <c r="D9" s="521">
        <f>ROUND(D10+D11+D12+D13+D16,0)</f>
        <v>52815</v>
      </c>
      <c r="E9" s="521">
        <f t="shared" ref="E9:H9" si="2">ROUND(E10+E11+E12+E13+E16,0)</f>
        <v>58691</v>
      </c>
      <c r="F9" s="521">
        <f t="shared" si="2"/>
        <v>61588</v>
      </c>
      <c r="G9" s="521">
        <f t="shared" si="2"/>
        <v>65165</v>
      </c>
      <c r="H9" s="521">
        <f t="shared" si="2"/>
        <v>68664</v>
      </c>
    </row>
    <row r="10" spans="1:8" ht="15.75">
      <c r="A10" s="522" t="s">
        <v>294</v>
      </c>
      <c r="B10" s="523" t="s">
        <v>295</v>
      </c>
      <c r="C10" s="524">
        <v>43563.8</v>
      </c>
      <c r="D10" s="524">
        <v>47813</v>
      </c>
      <c r="E10" s="524">
        <v>52303</v>
      </c>
      <c r="F10" s="525">
        <v>55980</v>
      </c>
      <c r="G10" s="524">
        <v>59555</v>
      </c>
      <c r="H10" s="524">
        <v>63052</v>
      </c>
    </row>
    <row r="11" spans="1:8" ht="15.75">
      <c r="A11" s="522" t="s">
        <v>296</v>
      </c>
      <c r="B11" s="523" t="s">
        <v>342</v>
      </c>
      <c r="C11" s="526">
        <v>0</v>
      </c>
      <c r="D11" s="526">
        <v>0</v>
      </c>
      <c r="E11" s="526">
        <v>0</v>
      </c>
      <c r="F11" s="527">
        <v>0</v>
      </c>
      <c r="G11" s="526">
        <v>0</v>
      </c>
      <c r="H11" s="526">
        <v>0</v>
      </c>
    </row>
    <row r="12" spans="1:8" ht="31.5">
      <c r="A12" s="522" t="s">
        <v>297</v>
      </c>
      <c r="B12" s="523" t="s">
        <v>347</v>
      </c>
      <c r="C12" s="526">
        <v>0</v>
      </c>
      <c r="D12" s="526">
        <v>0</v>
      </c>
      <c r="E12" s="526">
        <v>0</v>
      </c>
      <c r="F12" s="527">
        <v>0</v>
      </c>
      <c r="G12" s="526">
        <v>0</v>
      </c>
      <c r="H12" s="526">
        <v>0</v>
      </c>
    </row>
    <row r="13" spans="1:8" ht="15.75">
      <c r="A13" s="522" t="s">
        <v>298</v>
      </c>
      <c r="B13" s="528" t="s">
        <v>304</v>
      </c>
      <c r="C13" s="529">
        <f>C14+C15</f>
        <v>7566.7</v>
      </c>
      <c r="D13" s="529">
        <f>ROUND(D14+D15,0)</f>
        <v>4694</v>
      </c>
      <c r="E13" s="529">
        <f t="shared" ref="E13:H13" si="3">ROUND(E14+E15,0)</f>
        <v>5422</v>
      </c>
      <c r="F13" s="521">
        <f t="shared" si="3"/>
        <v>5508</v>
      </c>
      <c r="G13" s="529">
        <f t="shared" si="3"/>
        <v>5510</v>
      </c>
      <c r="H13" s="529">
        <f t="shared" si="3"/>
        <v>5512</v>
      </c>
    </row>
    <row r="14" spans="1:8" ht="15.75">
      <c r="A14" s="522" t="s">
        <v>344</v>
      </c>
      <c r="B14" s="459" t="s">
        <v>302</v>
      </c>
      <c r="C14" s="529">
        <v>7558.3</v>
      </c>
      <c r="D14" s="529">
        <v>4686</v>
      </c>
      <c r="E14" s="529">
        <v>5417</v>
      </c>
      <c r="F14" s="521">
        <v>5500</v>
      </c>
      <c r="G14" s="529">
        <v>5500</v>
      </c>
      <c r="H14" s="529">
        <v>5500</v>
      </c>
    </row>
    <row r="15" spans="1:8" ht="15.75">
      <c r="A15" s="522" t="s">
        <v>345</v>
      </c>
      <c r="B15" s="462" t="s">
        <v>304</v>
      </c>
      <c r="C15" s="529">
        <v>8.4</v>
      </c>
      <c r="D15" s="529">
        <v>8</v>
      </c>
      <c r="E15" s="529">
        <v>5</v>
      </c>
      <c r="F15" s="521">
        <v>8</v>
      </c>
      <c r="G15" s="529">
        <v>10</v>
      </c>
      <c r="H15" s="529">
        <v>12</v>
      </c>
    </row>
    <row r="16" spans="1:8" ht="15.75">
      <c r="A16" s="522" t="s">
        <v>300</v>
      </c>
      <c r="B16" s="523" t="s">
        <v>306</v>
      </c>
      <c r="C16" s="524">
        <v>77.7</v>
      </c>
      <c r="D16" s="524">
        <v>308</v>
      </c>
      <c r="E16" s="524">
        <v>966</v>
      </c>
      <c r="F16" s="525">
        <v>100</v>
      </c>
      <c r="G16" s="524">
        <v>100</v>
      </c>
      <c r="H16" s="524">
        <v>100</v>
      </c>
    </row>
    <row r="17" spans="1:8" ht="15.75">
      <c r="A17" s="519" t="s">
        <v>307</v>
      </c>
      <c r="B17" s="520" t="s">
        <v>343</v>
      </c>
      <c r="C17" s="521">
        <f>C18+C19+C20+C21</f>
        <v>14148</v>
      </c>
      <c r="D17" s="521">
        <f>ROUND(D18+D19+D20+D21,0)</f>
        <v>-14094</v>
      </c>
      <c r="E17" s="521">
        <f>ROUND(E18+E19+E20+E21,0)</f>
        <v>-19114</v>
      </c>
      <c r="F17" s="521">
        <f t="shared" ref="F17:H17" si="4">ROUND(F18+F19+F20+F21,0)</f>
        <v>-19296</v>
      </c>
      <c r="G17" s="521">
        <f t="shared" si="4"/>
        <v>-21544</v>
      </c>
      <c r="H17" s="521">
        <f t="shared" si="4"/>
        <v>-23922</v>
      </c>
    </row>
    <row r="18" spans="1:8" ht="15.75">
      <c r="A18" s="522" t="s">
        <v>308</v>
      </c>
      <c r="B18" s="459" t="s">
        <v>271</v>
      </c>
      <c r="C18" s="524">
        <v>13890.8</v>
      </c>
      <c r="D18" s="524">
        <f>ROUND(-13597,0)</f>
        <v>-13597</v>
      </c>
      <c r="E18" s="524">
        <f>-16658</f>
        <v>-16658</v>
      </c>
      <c r="F18" s="525">
        <v>-18751</v>
      </c>
      <c r="G18" s="524">
        <v>-20974</v>
      </c>
      <c r="H18" s="524">
        <v>-23330</v>
      </c>
    </row>
    <row r="19" spans="1:8" ht="15.75">
      <c r="A19" s="522" t="s">
        <v>310</v>
      </c>
      <c r="B19" s="459" t="s">
        <v>313</v>
      </c>
      <c r="C19" s="524">
        <v>257.2</v>
      </c>
      <c r="D19" s="524">
        <f>ROUND(-287.2,0)</f>
        <v>-287</v>
      </c>
      <c r="E19" s="524">
        <f>-319</f>
        <v>-319</v>
      </c>
      <c r="F19" s="525">
        <v>-345</v>
      </c>
      <c r="G19" s="524">
        <v>-370</v>
      </c>
      <c r="H19" s="524">
        <f>-392</f>
        <v>-392</v>
      </c>
    </row>
    <row r="20" spans="1:8" ht="15.75">
      <c r="A20" s="522" t="s">
        <v>312</v>
      </c>
      <c r="B20" s="459" t="s">
        <v>315</v>
      </c>
      <c r="C20" s="529">
        <v>0</v>
      </c>
      <c r="D20" s="529">
        <v>0</v>
      </c>
      <c r="E20" s="529">
        <v>0</v>
      </c>
      <c r="F20" s="521">
        <v>0</v>
      </c>
      <c r="G20" s="529">
        <v>0</v>
      </c>
      <c r="H20" s="529">
        <v>0</v>
      </c>
    </row>
    <row r="21" spans="1:8" ht="15.75">
      <c r="A21" s="522" t="s">
        <v>314</v>
      </c>
      <c r="B21" s="459" t="s">
        <v>317</v>
      </c>
      <c r="C21" s="529">
        <v>0</v>
      </c>
      <c r="D21" s="524">
        <f>ROUND(-209.6,0)</f>
        <v>-210</v>
      </c>
      <c r="E21" s="529">
        <f>E22+E23</f>
        <v>-2137</v>
      </c>
      <c r="F21" s="521">
        <f>F22+F23</f>
        <v>-200</v>
      </c>
      <c r="G21" s="529">
        <f t="shared" ref="G21:H21" si="5">G22+G23</f>
        <v>-200</v>
      </c>
      <c r="H21" s="529">
        <f t="shared" si="5"/>
        <v>-200</v>
      </c>
    </row>
    <row r="22" spans="1:8" ht="31.5">
      <c r="A22" s="522" t="s">
        <v>511</v>
      </c>
      <c r="B22" s="459" t="s">
        <v>512</v>
      </c>
      <c r="C22" s="529"/>
      <c r="D22" s="524"/>
      <c r="E22" s="529">
        <v>-1937</v>
      </c>
      <c r="F22" s="521">
        <v>0</v>
      </c>
      <c r="G22" s="529">
        <v>0</v>
      </c>
      <c r="H22" s="529">
        <v>0</v>
      </c>
    </row>
    <row r="23" spans="1:8" ht="15.75">
      <c r="A23" s="522" t="s">
        <v>513</v>
      </c>
      <c r="B23" s="459" t="s">
        <v>514</v>
      </c>
      <c r="C23" s="529"/>
      <c r="D23" s="524"/>
      <c r="E23" s="529">
        <v>-200</v>
      </c>
      <c r="F23" s="521">
        <v>-200</v>
      </c>
      <c r="G23" s="529">
        <v>-200</v>
      </c>
      <c r="H23" s="529">
        <v>-200</v>
      </c>
    </row>
    <row r="24" spans="1:8" ht="15.75">
      <c r="A24" s="519" t="s">
        <v>318</v>
      </c>
      <c r="B24" s="520" t="s">
        <v>319</v>
      </c>
      <c r="C24" s="521">
        <f t="shared" ref="C24" si="6">C25+C26</f>
        <v>0</v>
      </c>
      <c r="D24" s="521">
        <f>D25+D26</f>
        <v>-235100</v>
      </c>
      <c r="E24" s="521">
        <f>E25+E26</f>
        <v>20200</v>
      </c>
      <c r="F24" s="521">
        <f t="shared" ref="F24:H24" si="7">F25+F26</f>
        <v>0</v>
      </c>
      <c r="G24" s="521">
        <f t="shared" si="7"/>
        <v>0</v>
      </c>
      <c r="H24" s="521">
        <f t="shared" si="7"/>
        <v>0</v>
      </c>
    </row>
    <row r="25" spans="1:8" ht="31.5">
      <c r="A25" s="522" t="s">
        <v>320</v>
      </c>
      <c r="B25" s="459" t="s">
        <v>321</v>
      </c>
      <c r="C25" s="529">
        <v>0</v>
      </c>
      <c r="D25" s="530">
        <f>-582660</f>
        <v>-582660</v>
      </c>
      <c r="E25" s="530">
        <v>-366000</v>
      </c>
      <c r="F25" s="521">
        <v>0</v>
      </c>
      <c r="G25" s="529">
        <v>0</v>
      </c>
      <c r="H25" s="529">
        <v>0</v>
      </c>
    </row>
    <row r="26" spans="1:8" ht="31.5">
      <c r="A26" s="522" t="s">
        <v>322</v>
      </c>
      <c r="B26" s="459" t="s">
        <v>323</v>
      </c>
      <c r="C26" s="529">
        <v>0</v>
      </c>
      <c r="D26" s="529">
        <v>347560</v>
      </c>
      <c r="E26" s="529">
        <v>386200</v>
      </c>
      <c r="F26" s="521">
        <v>0</v>
      </c>
      <c r="G26" s="529">
        <f t="shared" ref="G26:H26" si="8">F25*(-1)</f>
        <v>0</v>
      </c>
      <c r="H26" s="529">
        <f t="shared" si="8"/>
        <v>0</v>
      </c>
    </row>
    <row r="27" spans="1:8" ht="15.75">
      <c r="A27" s="519" t="s">
        <v>324</v>
      </c>
      <c r="B27" s="520" t="s">
        <v>325</v>
      </c>
      <c r="C27" s="521">
        <f t="shared" ref="C27" si="9">C28+C29</f>
        <v>0</v>
      </c>
      <c r="D27" s="521">
        <v>0</v>
      </c>
      <c r="E27" s="521">
        <v>0</v>
      </c>
      <c r="F27" s="521">
        <v>0</v>
      </c>
      <c r="G27" s="521">
        <v>0</v>
      </c>
      <c r="H27" s="521">
        <v>0</v>
      </c>
    </row>
    <row r="28" spans="1:8" ht="15.75">
      <c r="A28" s="522" t="s">
        <v>326</v>
      </c>
      <c r="B28" s="459" t="s">
        <v>327</v>
      </c>
      <c r="C28" s="529">
        <v>0</v>
      </c>
      <c r="D28" s="529">
        <v>0</v>
      </c>
      <c r="E28" s="529">
        <v>0</v>
      </c>
      <c r="F28" s="521">
        <v>0</v>
      </c>
      <c r="G28" s="529">
        <v>0</v>
      </c>
      <c r="H28" s="529">
        <v>0</v>
      </c>
    </row>
    <row r="29" spans="1:8" ht="15.75">
      <c r="A29" s="522" t="s">
        <v>328</v>
      </c>
      <c r="B29" s="459" t="s">
        <v>329</v>
      </c>
      <c r="C29" s="529">
        <v>0</v>
      </c>
      <c r="D29" s="529">
        <v>0</v>
      </c>
      <c r="E29" s="529">
        <v>0</v>
      </c>
      <c r="F29" s="521">
        <v>0</v>
      </c>
      <c r="G29" s="529">
        <v>0</v>
      </c>
      <c r="H29" s="529">
        <v>0</v>
      </c>
    </row>
    <row r="30" spans="1:8" ht="15.75">
      <c r="A30" s="519" t="s">
        <v>330</v>
      </c>
      <c r="B30" s="520" t="s">
        <v>331</v>
      </c>
      <c r="C30" s="521">
        <f>C33</f>
        <v>37060</v>
      </c>
      <c r="D30" s="521">
        <f>-196379</f>
        <v>-196379</v>
      </c>
      <c r="E30" s="521">
        <f>E33</f>
        <v>59777</v>
      </c>
      <c r="F30" s="521">
        <f>F33</f>
        <v>42292</v>
      </c>
      <c r="G30" s="521">
        <f>G33</f>
        <v>43621</v>
      </c>
      <c r="H30" s="521">
        <f>H33</f>
        <v>44742</v>
      </c>
    </row>
    <row r="31" spans="1:8" ht="15.75">
      <c r="A31" s="519" t="s">
        <v>332</v>
      </c>
      <c r="B31" s="520" t="s">
        <v>333</v>
      </c>
      <c r="C31" s="521"/>
      <c r="D31" s="521"/>
      <c r="E31" s="521"/>
      <c r="F31" s="521"/>
      <c r="G31" s="521"/>
      <c r="H31" s="521"/>
    </row>
    <row r="32" spans="1:8" ht="15.75">
      <c r="A32" s="522" t="s">
        <v>334</v>
      </c>
      <c r="B32" s="459" t="s">
        <v>335</v>
      </c>
      <c r="C32" s="529">
        <v>170107</v>
      </c>
      <c r="D32" s="529">
        <v>207167</v>
      </c>
      <c r="E32" s="529">
        <f>D34</f>
        <v>10788</v>
      </c>
      <c r="F32" s="521">
        <f>E34</f>
        <v>70565</v>
      </c>
      <c r="G32" s="529">
        <f>F34</f>
        <v>112857</v>
      </c>
      <c r="H32" s="529">
        <f>G34</f>
        <v>156478</v>
      </c>
    </row>
    <row r="33" spans="1:8" ht="15.75">
      <c r="A33" s="522" t="s">
        <v>336</v>
      </c>
      <c r="B33" s="459" t="s">
        <v>337</v>
      </c>
      <c r="C33" s="529">
        <f>ROUND(C34-C32,0)</f>
        <v>37060</v>
      </c>
      <c r="D33" s="529">
        <f>-196379</f>
        <v>-196379</v>
      </c>
      <c r="E33" s="529">
        <f>E34-E32</f>
        <v>59777</v>
      </c>
      <c r="F33" s="521">
        <f>F34-F32</f>
        <v>42292</v>
      </c>
      <c r="G33" s="529">
        <f t="shared" ref="G33:H33" si="10">G34-G32</f>
        <v>43621</v>
      </c>
      <c r="H33" s="529">
        <f t="shared" si="10"/>
        <v>44742</v>
      </c>
    </row>
    <row r="34" spans="1:8" ht="15.75">
      <c r="A34" s="531" t="s">
        <v>338</v>
      </c>
      <c r="B34" s="459" t="s">
        <v>339</v>
      </c>
      <c r="C34" s="524">
        <f>C32+C9-C17+C24+C27</f>
        <v>207167.2</v>
      </c>
      <c r="D34" s="524">
        <v>10788</v>
      </c>
      <c r="E34" s="524">
        <f>E32+E9+E17+E24+E27</f>
        <v>70565</v>
      </c>
      <c r="F34" s="525">
        <f t="shared" ref="F34:H34" si="11">F32+F9+F17+F24+F27</f>
        <v>112857</v>
      </c>
      <c r="G34" s="524">
        <f t="shared" si="11"/>
        <v>156478</v>
      </c>
      <c r="H34" s="524">
        <f t="shared" si="11"/>
        <v>201220</v>
      </c>
    </row>
    <row r="35" spans="1:8">
      <c r="A35" s="242"/>
      <c r="B35" s="242"/>
      <c r="C35" s="242"/>
      <c r="D35" s="119"/>
      <c r="E35" s="242"/>
      <c r="F35" s="242"/>
      <c r="G35" s="242"/>
      <c r="H35" s="242"/>
    </row>
  </sheetData>
  <mergeCells count="1">
    <mergeCell ref="A3:G3"/>
  </mergeCells>
  <pageMargins left="0.25" right="0.25"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12</vt:i4>
      </vt:variant>
      <vt:variant>
        <vt:lpstr>Įvardytieji diapazonai</vt:lpstr>
      </vt:variant>
      <vt:variant>
        <vt:i4>2</vt:i4>
      </vt:variant>
    </vt:vector>
  </HeadingPairs>
  <TitlesOfParts>
    <vt:vector size="14" baseType="lpstr">
      <vt:lpstr>1 lentelė 1-2 lapai</vt:lpstr>
      <vt:lpstr> 2 lentelė_1-4 lapai</vt:lpstr>
      <vt:lpstr>3 lentelė_1-2 lapai</vt:lpstr>
      <vt:lpstr>4 lentelė 1 lapas</vt:lpstr>
      <vt:lpstr>4 lentelė 2 lapas</vt:lpstr>
      <vt:lpstr>4 lentelė 3,4,5 lapas_II</vt:lpstr>
      <vt:lpstr>5 lentelė</vt:lpstr>
      <vt:lpstr> 6 lentelė 1-2 lapai</vt:lpstr>
      <vt:lpstr>7 lentelė</vt:lpstr>
      <vt:lpstr>8 lentelė</vt:lpstr>
      <vt:lpstr>9 lentelė</vt:lpstr>
      <vt:lpstr>10 lentelė</vt:lpstr>
      <vt:lpstr>'10 lentelė'!Print_Area</vt:lpstr>
      <vt:lpstr>'3 lentelė_1-2 lapai'!Print_Area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Raselė Bernotienė</dc:creator>
  <cp:lastModifiedBy>Rita Švarcienė</cp:lastModifiedBy>
  <cp:lastPrinted>2026-10-14T07:13:45Z</cp:lastPrinted>
  <dcterms:created xsi:type="dcterms:W3CDTF">2014-10-02T05:52:07Z</dcterms:created>
  <dcterms:modified xsi:type="dcterms:W3CDTF">2026-10-14T08:32:54Z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